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Sheet1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BS37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>3 year Variable formulas</t>
        </r>
      </text>
    </comment>
  </commentList>
</comments>
</file>

<file path=xl/sharedStrings.xml><?xml version="1.0" encoding="utf-8"?>
<sst xmlns="http://schemas.openxmlformats.org/spreadsheetml/2006/main" count="4574" uniqueCount="3351">
  <si>
    <r>
      <t>LexCalx2</t>
    </r>
    <r>
      <rPr>
        <sz val="10"/>
        <rFont val="Arial"/>
        <family val="2"/>
      </rPr>
      <t xml:space="preserve"> Church-year and Lectionary Calculator, by David J. Foerster, 2013, foersdiaz@aol.com</t>
    </r>
  </si>
  <si>
    <t>CHURCH YEAR CALCULATOR</t>
  </si>
  <si>
    <t>CHURCH SEASON</t>
  </si>
  <si>
    <t>LECTIONARY TABLE</t>
  </si>
  <si>
    <t>CHRUCH SEASON</t>
  </si>
  <si>
    <t>ODD-YEAR LECTIONS</t>
  </si>
  <si>
    <t>EVEN-YEAR LECTIONS</t>
  </si>
  <si>
    <t>3rd year</t>
  </si>
  <si>
    <t>This Week: 'BLOG</t>
  </si>
  <si>
    <t>HOME - Archive</t>
  </si>
  <si>
    <t>Enter 4-digitYEAR Below</t>
  </si>
  <si>
    <t>RESULT</t>
  </si>
  <si>
    <t>Date</t>
  </si>
  <si>
    <t>index</t>
  </si>
  <si>
    <t>Week/Day</t>
  </si>
  <si>
    <t>Sunday</t>
  </si>
  <si>
    <t>Monday</t>
  </si>
  <si>
    <t xml:space="preserve">Tuesday </t>
  </si>
  <si>
    <t>Wednesday</t>
  </si>
  <si>
    <t>Thursday</t>
  </si>
  <si>
    <t>Friday</t>
  </si>
  <si>
    <t>Saturday</t>
  </si>
  <si>
    <t>Day/Week</t>
  </si>
  <si>
    <t>Easter Year</t>
  </si>
  <si>
    <t>Easter Date</t>
  </si>
  <si>
    <t xml:space="preserve">E Date </t>
  </si>
  <si>
    <t>EdateCurYr</t>
  </si>
  <si>
    <t>EdatePrecdYr</t>
  </si>
  <si>
    <t>Sundays after Epiphany</t>
  </si>
  <si>
    <t>Seputagesima</t>
  </si>
  <si>
    <t>Septua. Date</t>
  </si>
  <si>
    <t>Ash Wednesday</t>
  </si>
  <si>
    <t>Ash W. Date</t>
  </si>
  <si>
    <t>Ascension Day</t>
  </si>
  <si>
    <t>Ascens. Date</t>
  </si>
  <si>
    <t>Pentecost</t>
  </si>
  <si>
    <t>Pent. Date</t>
  </si>
  <si>
    <t>Sundays after Trinity</t>
  </si>
  <si>
    <t>First Advent</t>
  </si>
  <si>
    <t>Advent Current</t>
  </si>
  <si>
    <t>Advent Precd</t>
  </si>
  <si>
    <t>Cycle</t>
  </si>
  <si>
    <t>Week</t>
  </si>
  <si>
    <t>Tuesday</t>
  </si>
  <si>
    <t xml:space="preserve">1 Advent </t>
  </si>
  <si>
    <t>1 &gt;&gt;&gt;</t>
  </si>
  <si>
    <t>1 Advent a</t>
  </si>
  <si>
    <t>Isaiah 1:1-9,</t>
  </si>
  <si>
    <t>Isaiah 1:10-20,</t>
  </si>
  <si>
    <t>Isaiah 1:21-31,</t>
  </si>
  <si>
    <t>Isaiah 2:1-4,</t>
  </si>
  <si>
    <t>Isaiah 2:5-22,</t>
  </si>
  <si>
    <t>Isaiah 3:1-4:1,</t>
  </si>
  <si>
    <t>Isaiah 4:2-6,</t>
  </si>
  <si>
    <t>2 &gt;&gt;&gt;</t>
  </si>
  <si>
    <t>Amos 1:1-5, 13-2.8,</t>
  </si>
  <si>
    <t>Amos 2:6-16,</t>
  </si>
  <si>
    <t>Amos 3:1-11,</t>
  </si>
  <si>
    <t>Amos 3:12-4;5,</t>
  </si>
  <si>
    <t>Amos 4:6-13,</t>
  </si>
  <si>
    <t>Amos 5:1-17,</t>
  </si>
  <si>
    <t>Amos 5:18-27,</t>
  </si>
  <si>
    <t>3 &gt;&gt;&gt;</t>
  </si>
  <si>
    <t>Monday1</t>
  </si>
  <si>
    <t>Tuesday1</t>
  </si>
  <si>
    <t>Wednesday1</t>
  </si>
  <si>
    <t>Thursday1</t>
  </si>
  <si>
    <t>friday1</t>
  </si>
  <si>
    <t>saturday1</t>
  </si>
  <si>
    <t>1 Advent b</t>
  </si>
  <si>
    <t>2 Peter 3:1-10,</t>
  </si>
  <si>
    <t>1 Thessalonians 1:1-10,</t>
  </si>
  <si>
    <t>1 Thessalonians 2:1-12,</t>
  </si>
  <si>
    <t>1 Thessalonians 2:13-20,</t>
  </si>
  <si>
    <t>1 Thessalonians 3:1-13,</t>
  </si>
  <si>
    <t>1 Thessalonians 4:1-12,</t>
  </si>
  <si>
    <t>1 Thessalonians 4:13-18</t>
  </si>
  <si>
    <t>1 Thessalonians 5:1-11,</t>
  </si>
  <si>
    <t>2 Peter 1;1-11,</t>
  </si>
  <si>
    <t>2 Peter 1:12-21,</t>
  </si>
  <si>
    <t>2 Peter 3:11-18,</t>
  </si>
  <si>
    <t>Jude 1-16,</t>
  </si>
  <si>
    <t>Jude 17-25,</t>
  </si>
  <si>
    <t>Sunday 2</t>
  </si>
  <si>
    <t>Monday2</t>
  </si>
  <si>
    <t>Tuesday2</t>
  </si>
  <si>
    <t>Wednesday2</t>
  </si>
  <si>
    <t>Thursday2</t>
  </si>
  <si>
    <t>friday2</t>
  </si>
  <si>
    <t>saturday2</t>
  </si>
  <si>
    <t>New/Old Calendar</t>
  </si>
  <si>
    <t>Old/Septuaguessima below</t>
  </si>
  <si>
    <t>1 Advent c</t>
  </si>
  <si>
    <t>Matthew 25:1-13</t>
  </si>
  <si>
    <t>Luke 20:1-8</t>
  </si>
  <si>
    <t>Luke 20:9-18</t>
  </si>
  <si>
    <t>Luke 20:19-26</t>
  </si>
  <si>
    <t>Luke 20:27-40</t>
  </si>
  <si>
    <t>Luke 20:41-21:4</t>
  </si>
  <si>
    <t>Luke 21:5-19</t>
  </si>
  <si>
    <t>Matthew 21:1-11</t>
  </si>
  <si>
    <t>Matthew 21:12-22</t>
  </si>
  <si>
    <t>Matthew 21:23-32</t>
  </si>
  <si>
    <t>Matthew 21:33-46</t>
  </si>
  <si>
    <t>Matthew 22:1-14</t>
  </si>
  <si>
    <t>Matthew 22:15-22</t>
  </si>
  <si>
    <t>Sunday 3</t>
  </si>
  <si>
    <t>Monday3</t>
  </si>
  <si>
    <t>Tuesday3</t>
  </si>
  <si>
    <t>Wednesday3</t>
  </si>
  <si>
    <t>Thursday3</t>
  </si>
  <si>
    <t>friday3</t>
  </si>
  <si>
    <t>saturday3</t>
  </si>
  <si>
    <t>OPTIONAL - Enter ONLY if Yes -&gt;</t>
  </si>
  <si>
    <t xml:space="preserve">2 Advent </t>
  </si>
  <si>
    <t>2 Advent a</t>
  </si>
  <si>
    <t>Isaiah 5:1-7,</t>
  </si>
  <si>
    <t>Isaiah 5:8-17,</t>
  </si>
  <si>
    <t>Isaiah 5:18-25,</t>
  </si>
  <si>
    <t>Isaiah 6:1-13,</t>
  </si>
  <si>
    <t>Isaiah 7:1-9,</t>
  </si>
  <si>
    <t>Isaiah 7:10-25,</t>
  </si>
  <si>
    <t>Isaiah 8:1-15,</t>
  </si>
  <si>
    <t>Amos 6:1-4,</t>
  </si>
  <si>
    <t>Amos 7:1-9,</t>
  </si>
  <si>
    <t>Amos 7:10-17,</t>
  </si>
  <si>
    <t>Amos 8:1-14,</t>
  </si>
  <si>
    <t>Amos 9:1-10,</t>
  </si>
  <si>
    <t>Hagai 1:1-15,</t>
  </si>
  <si>
    <t>Hagai 2:1-9,</t>
  </si>
  <si>
    <t>Sunday 4</t>
  </si>
  <si>
    <t>Monday4</t>
  </si>
  <si>
    <t>Tuesday4</t>
  </si>
  <si>
    <t>Wednesday4</t>
  </si>
  <si>
    <t>Thursday4</t>
  </si>
  <si>
    <t>friday4</t>
  </si>
  <si>
    <t>saturday4</t>
  </si>
  <si>
    <t>2 Advent b</t>
  </si>
  <si>
    <t>1 Thessalonians 5:12-28,</t>
  </si>
  <si>
    <t>2 Thessalonians 1:1-12,</t>
  </si>
  <si>
    <t>2 Thessalonians 2:1-12,</t>
  </si>
  <si>
    <t>2 Thessalonians 2:13-3:5,</t>
  </si>
  <si>
    <t>2 Thessalonians 3:6-18,</t>
  </si>
  <si>
    <t>2 Thessalonians 1:5-12,</t>
  </si>
  <si>
    <t>Revelation 1:1-8,</t>
  </si>
  <si>
    <t>Revelation1:9-16,</t>
  </si>
  <si>
    <t>Revelation 1:17-2:7,</t>
  </si>
  <si>
    <t>Revelation 2:8-17,</t>
  </si>
  <si>
    <t>Revelation 2:18-29,</t>
  </si>
  <si>
    <t>Revelation 3:1-6,</t>
  </si>
  <si>
    <t>Sunday 5</t>
  </si>
  <si>
    <t>Monday5</t>
  </si>
  <si>
    <t>Tuesday5</t>
  </si>
  <si>
    <t>Wednesday5</t>
  </si>
  <si>
    <t>Thursday5</t>
  </si>
  <si>
    <t>friday5</t>
  </si>
  <si>
    <t>saturday5</t>
  </si>
  <si>
    <t>Cycle:</t>
  </si>
  <si>
    <t>2 Advent c</t>
  </si>
  <si>
    <t>Luke 7:28-35</t>
  </si>
  <si>
    <t>Luke 21:20-28</t>
  </si>
  <si>
    <t>Luke 21:29-38</t>
  </si>
  <si>
    <t>John 7:53-8:11</t>
  </si>
  <si>
    <t>Luke 22:1-13</t>
  </si>
  <si>
    <t>Luke 22:14-30</t>
  </si>
  <si>
    <t>Luke 22:31-38</t>
  </si>
  <si>
    <t>Luke 1:57-68</t>
  </si>
  <si>
    <t>Matthew22:23-33</t>
  </si>
  <si>
    <t>Matthew 22:34-46</t>
  </si>
  <si>
    <t>Matthew 23:1-12</t>
  </si>
  <si>
    <t>Matthew 23:13-26</t>
  </si>
  <si>
    <t>Matthew 23:27-39</t>
  </si>
  <si>
    <t>Matthew 24:1-14</t>
  </si>
  <si>
    <t>Sunday 6</t>
  </si>
  <si>
    <t>Monday6</t>
  </si>
  <si>
    <t>Tuesday6</t>
  </si>
  <si>
    <t>Wednesday6</t>
  </si>
  <si>
    <t>Thursday6</t>
  </si>
  <si>
    <t>friday6</t>
  </si>
  <si>
    <t>saturday6</t>
  </si>
  <si>
    <t>Easter:</t>
  </si>
  <si>
    <t>3 Advent</t>
  </si>
  <si>
    <t xml:space="preserve">3 Advent </t>
  </si>
  <si>
    <t>3 Advent a</t>
  </si>
  <si>
    <t>Isaiah 13:1-13,</t>
  </si>
  <si>
    <t>Isaiah 8:16-9:1,</t>
  </si>
  <si>
    <t>Isaiah 9:2-7,</t>
  </si>
  <si>
    <t>Isaiah 9:8-17,</t>
  </si>
  <si>
    <t>Isaiah 9:18-10:4,</t>
  </si>
  <si>
    <t>Isaiah 10:5-19,</t>
  </si>
  <si>
    <t>Isaiah 10:20-27,</t>
  </si>
  <si>
    <t>Amos 9:11-15,</t>
  </si>
  <si>
    <t>Zechariah 1:7-17,</t>
  </si>
  <si>
    <t>Zechariah 2:1-13,</t>
  </si>
  <si>
    <t>Zechariah 3:1-10,</t>
  </si>
  <si>
    <t>Zechariah 4:1-14,</t>
  </si>
  <si>
    <t>Zechariah 7:8-8:8,</t>
  </si>
  <si>
    <t>Zechariah 8:9-17,</t>
  </si>
  <si>
    <t>Sunday 7</t>
  </si>
  <si>
    <t>Monday7</t>
  </si>
  <si>
    <t>Tuesday7</t>
  </si>
  <si>
    <t>Wednesday7</t>
  </si>
  <si>
    <t>Thursday7</t>
  </si>
  <si>
    <t>friday7</t>
  </si>
  <si>
    <t>saturday7</t>
  </si>
  <si>
    <t>Sundays after epiph/New</t>
  </si>
  <si>
    <t>3 Advent b</t>
  </si>
  <si>
    <t>Hebrews 12:18-29,</t>
  </si>
  <si>
    <t>2 Peter 1:1-11,</t>
  </si>
  <si>
    <t>2 Peter 2:1-10a,</t>
  </si>
  <si>
    <t>2 Peter 2:10b-16,</t>
  </si>
  <si>
    <t>2 Peter 2:17-22,</t>
  </si>
  <si>
    <t>2 Thessalonians 2:1-3, 13-17,</t>
  </si>
  <si>
    <t>Revelation 3:7-13,</t>
  </si>
  <si>
    <t>Revelation3:14-22,</t>
  </si>
  <si>
    <t>Revelation 4:1-8,</t>
  </si>
  <si>
    <t>Revelation 4:9-5:5,</t>
  </si>
  <si>
    <t>Revelation 5:6-14,</t>
  </si>
  <si>
    <t>Revelation 6:1-17,</t>
  </si>
  <si>
    <t>Sunday 8</t>
  </si>
  <si>
    <t>Monday8</t>
  </si>
  <si>
    <t>Tuesday8</t>
  </si>
  <si>
    <t>Wednesday8</t>
  </si>
  <si>
    <t>Thursday8</t>
  </si>
  <si>
    <t>friday8</t>
  </si>
  <si>
    <t>saturday8</t>
  </si>
  <si>
    <t>Sundays after Epiph/Old</t>
  </si>
  <si>
    <t>3 Advent c</t>
  </si>
  <si>
    <t>John 3:22-30</t>
  </si>
  <si>
    <t>Luke 22:39-53</t>
  </si>
  <si>
    <t>Luke 22:54-69</t>
  </si>
  <si>
    <t>Mark 1:1-8</t>
  </si>
  <si>
    <t>Matthew 3:1-12</t>
  </si>
  <si>
    <t>Matthew 11:2-15</t>
  </si>
  <si>
    <t>Luke 3:1-9</t>
  </si>
  <si>
    <t>John5:30-47</t>
  </si>
  <si>
    <t>Matthew 24:15-31</t>
  </si>
  <si>
    <t>Matthew 24:32-44</t>
  </si>
  <si>
    <t>Matthew 24:45-51</t>
  </si>
  <si>
    <t>Matthew 25:14-30</t>
  </si>
  <si>
    <t>Matthew 25:31-46</t>
  </si>
  <si>
    <t>Sunday 9</t>
  </si>
  <si>
    <t>Monday9</t>
  </si>
  <si>
    <t>Tuesday9</t>
  </si>
  <si>
    <t>Wednesday9</t>
  </si>
  <si>
    <t>Thursday9</t>
  </si>
  <si>
    <t>friday9</t>
  </si>
  <si>
    <t>saturday9</t>
  </si>
  <si>
    <t>Septuaguissema/3 Epiphany</t>
  </si>
  <si>
    <t xml:space="preserve">4 Advent  </t>
  </si>
  <si>
    <t>4 Advent</t>
  </si>
  <si>
    <t>4 Advent a</t>
  </si>
  <si>
    <t>Isaiah 11:1-9,</t>
  </si>
  <si>
    <t>Isaiah 11:10-16,</t>
  </si>
  <si>
    <t>Isaiah 28:9-22,</t>
  </si>
  <si>
    <t>Isaiah 29:9-24,</t>
  </si>
  <si>
    <t>Isaiah 31:1-9,</t>
  </si>
  <si>
    <t>Isaiah 33:17-22,</t>
  </si>
  <si>
    <t>Isaiah 35:1-10,</t>
  </si>
  <si>
    <t>Genesis 3:8-15,</t>
  </si>
  <si>
    <t>Zephaniah 3:14-20,</t>
  </si>
  <si>
    <t>1 Samuel 2:1b-10,</t>
  </si>
  <si>
    <t>2 Samuel 7:1-17,</t>
  </si>
  <si>
    <t>2 Samuel 7:18-29,</t>
  </si>
  <si>
    <t>Jeremiah 31:10-14,</t>
  </si>
  <si>
    <t>Isaiah 60:1-6,</t>
  </si>
  <si>
    <t>Sunday 10</t>
  </si>
  <si>
    <t>Monday10</t>
  </si>
  <si>
    <t>Tuesday10</t>
  </si>
  <si>
    <t>Wednesday10</t>
  </si>
  <si>
    <t>Thursday10</t>
  </si>
  <si>
    <t>friday10</t>
  </si>
  <si>
    <t>saturday10</t>
  </si>
  <si>
    <t>Ash Wednesday Corrected</t>
  </si>
  <si>
    <t>4 Advent b</t>
  </si>
  <si>
    <t>Ephesians 6:10-20,</t>
  </si>
  <si>
    <t>Revelation 20:1-10,</t>
  </si>
  <si>
    <t>Revelation 20:11-21:8,</t>
  </si>
  <si>
    <t>Revelation 21:9-21,</t>
  </si>
  <si>
    <t>Revelation 21:22-22:5,</t>
  </si>
  <si>
    <t>Revelation 22:6-11, 18-20,</t>
  </si>
  <si>
    <t>Revelation 22:12-17, 21,</t>
  </si>
  <si>
    <t>Revelation  12:1-10,</t>
  </si>
  <si>
    <t>Titus 1:1-16,</t>
  </si>
  <si>
    <t>Titus 2:1-10,</t>
  </si>
  <si>
    <t>Titus 2:11-3:8a,</t>
  </si>
  <si>
    <t>Galatians 3:1-14,</t>
  </si>
  <si>
    <t>Galatians 3:15-22,</t>
  </si>
  <si>
    <t>Galatians 3:23-4:7,</t>
  </si>
  <si>
    <t>Sunday 11</t>
  </si>
  <si>
    <t>Monday11</t>
  </si>
  <si>
    <t>Tuesday11</t>
  </si>
  <si>
    <t>Wednesday11</t>
  </si>
  <si>
    <t>Thursday11</t>
  </si>
  <si>
    <t>friday11</t>
  </si>
  <si>
    <t>saturday11</t>
  </si>
  <si>
    <t>4 Advent c</t>
  </si>
  <si>
    <t>John 3:16:-21</t>
  </si>
  <si>
    <t>John 5:30-47</t>
  </si>
  <si>
    <t>Luke 1:5-25</t>
  </si>
  <si>
    <t>Luke 1:26-38</t>
  </si>
  <si>
    <t>Luke 1:39-48a (48b-56)</t>
  </si>
  <si>
    <t>Luke 1:57-66</t>
  </si>
  <si>
    <t>Luke 1:67-80</t>
  </si>
  <si>
    <t>John 3:16-21</t>
  </si>
  <si>
    <t>Luke 1:1-25</t>
  </si>
  <si>
    <t>Luke 1:67-80  or Matthew 1:1-17</t>
  </si>
  <si>
    <t>Matthew 1:18-25</t>
  </si>
  <si>
    <t>Sunday 12</t>
  </si>
  <si>
    <t>Monday12</t>
  </si>
  <si>
    <t>Tuesday12</t>
  </si>
  <si>
    <t>Wednesday12</t>
  </si>
  <si>
    <t>Thursday12</t>
  </si>
  <si>
    <t>friday12</t>
  </si>
  <si>
    <t>saturday12</t>
  </si>
  <si>
    <t>Christmas</t>
  </si>
  <si>
    <t>By calendar dates:</t>
  </si>
  <si>
    <t>December 25</t>
  </si>
  <si>
    <t>December 26</t>
  </si>
  <si>
    <t>December 27</t>
  </si>
  <si>
    <t>December 28</t>
  </si>
  <si>
    <t>December 29</t>
  </si>
  <si>
    <t>December 30</t>
  </si>
  <si>
    <t>December 31</t>
  </si>
  <si>
    <t>Sunday 13</t>
  </si>
  <si>
    <t>Monday13</t>
  </si>
  <si>
    <t>Tuesday13</t>
  </si>
  <si>
    <t>Wednesday13</t>
  </si>
  <si>
    <t>Thursday13</t>
  </si>
  <si>
    <t>friday13</t>
  </si>
  <si>
    <t>saturday13</t>
  </si>
  <si>
    <t>Sundays After Trinity</t>
  </si>
  <si>
    <t>Christmas a</t>
  </si>
  <si>
    <t>Zechariah 2:10-13,</t>
  </si>
  <si>
    <t>2 Chronicles 24:17-22,</t>
  </si>
  <si>
    <t>Proverbs 8:22-30,</t>
  </si>
  <si>
    <t>Isaiah 49:13-23,</t>
  </si>
  <si>
    <t>Isaiah 12:1-6,</t>
  </si>
  <si>
    <t>Isaiah 25:1-9,</t>
  </si>
  <si>
    <t>Isaiah 26:1-6,</t>
  </si>
  <si>
    <t>Micah 4:1-5; 5:2-4,</t>
  </si>
  <si>
    <t>2 Samuel 23:13-17b,</t>
  </si>
  <si>
    <t>1 Kings 17:17-24,</t>
  </si>
  <si>
    <t>1 Kings 3:5-14,</t>
  </si>
  <si>
    <t>Sunday 14</t>
  </si>
  <si>
    <t>Monday14</t>
  </si>
  <si>
    <t>Tuesday14</t>
  </si>
  <si>
    <t>Wednesday14</t>
  </si>
  <si>
    <t>Thursday14</t>
  </si>
  <si>
    <t>friday14</t>
  </si>
  <si>
    <t>saturday14</t>
  </si>
  <si>
    <t>First Sunday in Advent Next</t>
  </si>
  <si>
    <t>Christmas b</t>
  </si>
  <si>
    <t>1 John 4:7-16,</t>
  </si>
  <si>
    <t>Acts 6:1-7,</t>
  </si>
  <si>
    <t>1 John 5:1-12,</t>
  </si>
  <si>
    <t>Isaiah 54:1-13,</t>
  </si>
  <si>
    <t>Revelation 1:9-20,</t>
  </si>
  <si>
    <t>2 Corinthians 5:16-6:2,</t>
  </si>
  <si>
    <t>1 John4:7-16,</t>
  </si>
  <si>
    <t>2 John 1-13,</t>
  </si>
  <si>
    <t>3 John 1-15,</t>
  </si>
  <si>
    <t>James 4:13-17; 5:7-11,</t>
  </si>
  <si>
    <t>Sunday 15</t>
  </si>
  <si>
    <t>Monday15</t>
  </si>
  <si>
    <t>Tuesday15</t>
  </si>
  <si>
    <t>Wednesday15</t>
  </si>
  <si>
    <t>Thursday15</t>
  </si>
  <si>
    <t>friday15</t>
  </si>
  <si>
    <t>saturday15</t>
  </si>
  <si>
    <t>Christmas c</t>
  </si>
  <si>
    <t>John 3:31-36</t>
  </si>
  <si>
    <t>Acts 7:59-8:8</t>
  </si>
  <si>
    <t>John 13-20-35</t>
  </si>
  <si>
    <t>Matthew 18:1-14</t>
  </si>
  <si>
    <t>John 7:37-52</t>
  </si>
  <si>
    <t>John 8:12-19</t>
  </si>
  <si>
    <t>John 13:20-35</t>
  </si>
  <si>
    <t>John 2:1-11</t>
  </si>
  <si>
    <t>John 4:46-54</t>
  </si>
  <si>
    <t>John 5:1-15</t>
  </si>
  <si>
    <t>Sunday 16</t>
  </si>
  <si>
    <t>Monday16</t>
  </si>
  <si>
    <t>Tuesday16</t>
  </si>
  <si>
    <t>Wednesday16</t>
  </si>
  <si>
    <t>Thursday16</t>
  </si>
  <si>
    <t>friday16</t>
  </si>
  <si>
    <t>saturday16</t>
  </si>
  <si>
    <t>1 Christmas</t>
  </si>
  <si>
    <t>January 1</t>
  </si>
  <si>
    <t>January 2</t>
  </si>
  <si>
    <t>January 3</t>
  </si>
  <si>
    <t>January 4</t>
  </si>
  <si>
    <t>January 5</t>
  </si>
  <si>
    <t>January 6</t>
  </si>
  <si>
    <t>Sunday 17</t>
  </si>
  <si>
    <t>Monday17</t>
  </si>
  <si>
    <t>Tuesday17</t>
  </si>
  <si>
    <t>Wednesday17</t>
  </si>
  <si>
    <t>Thursday17</t>
  </si>
  <si>
    <t>friday17</t>
  </si>
  <si>
    <t>saturday17</t>
  </si>
  <si>
    <t xml:space="preserve">1 Christmas </t>
  </si>
  <si>
    <t>1 Christmas a</t>
  </si>
  <si>
    <t>Isaiah 62:6-7,10-12,</t>
  </si>
  <si>
    <t>Genesis 17:1-12a, 15-16,</t>
  </si>
  <si>
    <t>Genesis 12:1-7,</t>
  </si>
  <si>
    <t>Genesis 28:10-22,</t>
  </si>
  <si>
    <t>Exodus 3:1-15,</t>
  </si>
  <si>
    <t>Joshua 1:1-9,</t>
  </si>
  <si>
    <t>Isaiah 52:7-10,</t>
  </si>
  <si>
    <t>1 Samuel 1:1-2, 7b-28,</t>
  </si>
  <si>
    <t>Isaiah 62:1-5; 10-12,</t>
  </si>
  <si>
    <t>1 Kings 19:1-8,</t>
  </si>
  <si>
    <t>1 Kings 19:9-18,</t>
  </si>
  <si>
    <t>Joshua 3:14-4:7,</t>
  </si>
  <si>
    <t>Jonah 2:2-9,</t>
  </si>
  <si>
    <t>Isaiah 49:1-7,</t>
  </si>
  <si>
    <t>Sunday 18</t>
  </si>
  <si>
    <t>Monday18</t>
  </si>
  <si>
    <t>Tuesday18</t>
  </si>
  <si>
    <t>Wednesday18</t>
  </si>
  <si>
    <t>Thursday18</t>
  </si>
  <si>
    <t>friday18</t>
  </si>
  <si>
    <t>saturday18</t>
  </si>
  <si>
    <t>First Sunday in Advent Current</t>
  </si>
  <si>
    <t>3-YEAR CYCLE CALC</t>
  </si>
  <si>
    <t>1 Christmas b</t>
  </si>
  <si>
    <t>Hebrews 2:10-18,</t>
  </si>
  <si>
    <t>Colossians 2:6-12,</t>
  </si>
  <si>
    <t>Hebrews 11:1-12,</t>
  </si>
  <si>
    <t>Hebrews 11:13-22,</t>
  </si>
  <si>
    <t>Hebrews 11:23-31,</t>
  </si>
  <si>
    <t>Hebrews 11:32-12:2,</t>
  </si>
  <si>
    <t>Revelation 21:22-27,</t>
  </si>
  <si>
    <t>Colossians 1:9-20,</t>
  </si>
  <si>
    <t>Revelation 19:11-16,</t>
  </si>
  <si>
    <t>Ephesians 4:1-16,</t>
  </si>
  <si>
    <t>Ephesians 4:17-32,</t>
  </si>
  <si>
    <t>Ephesians 5:1-20,</t>
  </si>
  <si>
    <t>Sunday 19</t>
  </si>
  <si>
    <t>Monday19</t>
  </si>
  <si>
    <t>Tuesday19</t>
  </si>
  <si>
    <t>Wednesday19</t>
  </si>
  <si>
    <t>Thursday19</t>
  </si>
  <si>
    <t>friday19</t>
  </si>
  <si>
    <t>saturday19</t>
  </si>
  <si>
    <t>1 Christmas c</t>
  </si>
  <si>
    <t>John 16:23b-30</t>
  </si>
  <si>
    <t>John 6:35-42, 48-51</t>
  </si>
  <si>
    <t>John 10:7-17</t>
  </si>
  <si>
    <t>John 14:6-14</t>
  </si>
  <si>
    <t>John 15:1-16</t>
  </si>
  <si>
    <t>Matthew 12:14-21</t>
  </si>
  <si>
    <t>Luke 2:22-40</t>
  </si>
  <si>
    <t>John 6:1-14</t>
  </si>
  <si>
    <t>John 6:15-27</t>
  </si>
  <si>
    <t>John 9:1-12;35-38</t>
  </si>
  <si>
    <t>John 11:17-27, 38-44</t>
  </si>
  <si>
    <t>Sunday 20</t>
  </si>
  <si>
    <t>Monday20</t>
  </si>
  <si>
    <t>Tuesday20</t>
  </si>
  <si>
    <t>Wednesday20</t>
  </si>
  <si>
    <t>Thursday20</t>
  </si>
  <si>
    <t>friday20</t>
  </si>
  <si>
    <t>saturday20</t>
  </si>
  <si>
    <t>2 Christmas</t>
  </si>
  <si>
    <t>January 7</t>
  </si>
  <si>
    <t>January 8</t>
  </si>
  <si>
    <t>January 9</t>
  </si>
  <si>
    <t>January 10</t>
  </si>
  <si>
    <t>January 11</t>
  </si>
  <si>
    <t>January 12</t>
  </si>
  <si>
    <t>(E. date for preceeding yr; hide)</t>
  </si>
  <si>
    <t>Sunday 21</t>
  </si>
  <si>
    <t>Monday21</t>
  </si>
  <si>
    <t>Tuesday21</t>
  </si>
  <si>
    <t>Wednesday21</t>
  </si>
  <si>
    <t>Thursday21</t>
  </si>
  <si>
    <t>friday21</t>
  </si>
  <si>
    <t>saturday21</t>
  </si>
  <si>
    <t>Reg form error</t>
  </si>
  <si>
    <t xml:space="preserve">2 Christmas </t>
  </si>
  <si>
    <t>2 Christmas a</t>
  </si>
  <si>
    <t>Deuteronomy 33:1-5,</t>
  </si>
  <si>
    <t>Isaiah 52:3-6,</t>
  </si>
  <si>
    <t>Isaiah 59:15b-21,</t>
  </si>
  <si>
    <t>Isaiah 63:1-5,</t>
  </si>
  <si>
    <t>Isaiah 65:1-9,</t>
  </si>
  <si>
    <t>Isaiah 65:13-16,</t>
  </si>
  <si>
    <t>Isaiah 66:1-2, 22-23,</t>
  </si>
  <si>
    <t>Deuteronomy 8:1-3,</t>
  </si>
  <si>
    <t>Exodus 17:1-7,</t>
  </si>
  <si>
    <t>Isaiah 45:14-19,</t>
  </si>
  <si>
    <t>Jeremiah 23:1-8,</t>
  </si>
  <si>
    <t>Isaiah 55:3-9,</t>
  </si>
  <si>
    <t>Genesis 49:1-2, 8-12,</t>
  </si>
  <si>
    <t>Sunday 22</t>
  </si>
  <si>
    <t>Monday22</t>
  </si>
  <si>
    <t>Tuesday22</t>
  </si>
  <si>
    <t>Wednesday22</t>
  </si>
  <si>
    <t>Thursday22</t>
  </si>
  <si>
    <t>friday22</t>
  </si>
  <si>
    <t>saturday22</t>
  </si>
  <si>
    <t>2 Christmas b</t>
  </si>
  <si>
    <t>1 John 2:12-17,</t>
  </si>
  <si>
    <t>Revelation 2:1-7,</t>
  </si>
  <si>
    <t>Revelation 3:14-22,</t>
  </si>
  <si>
    <t>Colossians 3:12-17,</t>
  </si>
  <si>
    <t>Colossians 1:1-14,</t>
  </si>
  <si>
    <t>Colossians 1:15-23,</t>
  </si>
  <si>
    <t>Colossians 1:24-2:7,</t>
  </si>
  <si>
    <t>Colossians 2:8-23,</t>
  </si>
  <si>
    <t>Colossians 3:1-17,</t>
  </si>
  <si>
    <t>Colossians 3:18-4:6,</t>
  </si>
  <si>
    <t>Sunday 23</t>
  </si>
  <si>
    <t>Monday23</t>
  </si>
  <si>
    <t>Tuesday23</t>
  </si>
  <si>
    <t>Wednesday23</t>
  </si>
  <si>
    <t>Thursday23</t>
  </si>
  <si>
    <t>friday23</t>
  </si>
  <si>
    <t>saturday23</t>
  </si>
  <si>
    <t>2 Christmas c</t>
  </si>
  <si>
    <t>John 6:41-47</t>
  </si>
  <si>
    <t>John 9:1-12, 35-38</t>
  </si>
  <si>
    <t>John 6:30-33;48-51</t>
  </si>
  <si>
    <t>Sunday 24</t>
  </si>
  <si>
    <t>Monday24</t>
  </si>
  <si>
    <t>Tuesday24</t>
  </si>
  <si>
    <t>Wednesday24</t>
  </si>
  <si>
    <t>Thursday24</t>
  </si>
  <si>
    <t>friday24</t>
  </si>
  <si>
    <t>saturday24</t>
  </si>
  <si>
    <t>Var Form error</t>
  </si>
  <si>
    <t>Epiphany</t>
  </si>
  <si>
    <t>1 Epiphany a</t>
  </si>
  <si>
    <t>Isaiah 40:1-11,</t>
  </si>
  <si>
    <t>Isaiah 40:12-24,</t>
  </si>
  <si>
    <t>Isaiah 40:25-31,</t>
  </si>
  <si>
    <t xml:space="preserve">Isaiah 41:1-16, </t>
  </si>
  <si>
    <t>Isaiah 41:17-29,</t>
  </si>
  <si>
    <t>Isaiah 42:(1-9) 10-17,</t>
  </si>
  <si>
    <t>Isaiah (42:18-25) 43:1-13,</t>
  </si>
  <si>
    <t>Genesis 1:1-2:3,</t>
  </si>
  <si>
    <t>Genesis 2:4-9 (10-15) 16-25,</t>
  </si>
  <si>
    <t>Genesis 3:1-24,</t>
  </si>
  <si>
    <t>Genesis 4:1-16,</t>
  </si>
  <si>
    <t>Genesis 4:17-26,</t>
  </si>
  <si>
    <t>Genesis 6:1-8,</t>
  </si>
  <si>
    <t>Genesis 6:9-22,</t>
  </si>
  <si>
    <t>Sunday 25</t>
  </si>
  <si>
    <t>Monday25</t>
  </si>
  <si>
    <t>Tuesday25</t>
  </si>
  <si>
    <t>Wednesday25</t>
  </si>
  <si>
    <t>Thursday25</t>
  </si>
  <si>
    <t>friday25</t>
  </si>
  <si>
    <t>saturday25</t>
  </si>
  <si>
    <t xml:space="preserve"> - See January 6</t>
  </si>
  <si>
    <t>1 Epiphany b</t>
  </si>
  <si>
    <t>Hebrews 1:1-12,</t>
  </si>
  <si>
    <t>Ephesians 1:1-14,</t>
  </si>
  <si>
    <t>Ephesians 1:15-23,</t>
  </si>
  <si>
    <t>Ephesians 2:1-10,</t>
  </si>
  <si>
    <t>Ephesians 2:11-22,</t>
  </si>
  <si>
    <t>Ephesians 3:1-13,</t>
  </si>
  <si>
    <t>Ephesians 3:14-21,</t>
  </si>
  <si>
    <t>Ephesians 1:3-14,</t>
  </si>
  <si>
    <t>Hebrews 1:1-14,</t>
  </si>
  <si>
    <t>Hebrews 2:1-10,</t>
  </si>
  <si>
    <t>Hebrews 2:11-18,</t>
  </si>
  <si>
    <t>Hebrews 3:1-11,</t>
  </si>
  <si>
    <t>Hebrews 3:12-19,</t>
  </si>
  <si>
    <t>Hebrews 4:1-13,</t>
  </si>
  <si>
    <t>Sunday 26</t>
  </si>
  <si>
    <t>Monday26</t>
  </si>
  <si>
    <t>Tuesday26</t>
  </si>
  <si>
    <t>Wednesday26</t>
  </si>
  <si>
    <t>Thursday26</t>
  </si>
  <si>
    <t>friday26</t>
  </si>
  <si>
    <t>saturday26</t>
  </si>
  <si>
    <t>Reg form correct</t>
  </si>
  <si>
    <t>(Test formulae for variables)</t>
  </si>
  <si>
    <t>1 Epiphany c</t>
  </si>
  <si>
    <t>John 1:1-7,19-20, 29-34</t>
  </si>
  <si>
    <t>Mark 1:1-13</t>
  </si>
  <si>
    <t>Mark 1:14-28</t>
  </si>
  <si>
    <t>Mark 1:29-45</t>
  </si>
  <si>
    <t>Mark 2:1-12</t>
  </si>
  <si>
    <t>Mark 2:13-22</t>
  </si>
  <si>
    <t>Mark 2:23-3:6</t>
  </si>
  <si>
    <t>John 1:29-34</t>
  </si>
  <si>
    <t>John 1:1-18</t>
  </si>
  <si>
    <t>John 1:19-28</t>
  </si>
  <si>
    <t>John 1:(29-34) 35-42</t>
  </si>
  <si>
    <t>John 1:43-51</t>
  </si>
  <si>
    <t>John 2:1-12</t>
  </si>
  <si>
    <t>John 2:13-22</t>
  </si>
  <si>
    <t>Sunday 27</t>
  </si>
  <si>
    <t>Monday27</t>
  </si>
  <si>
    <t>Tuesday27</t>
  </si>
  <si>
    <t>Wednesday27</t>
  </si>
  <si>
    <t>Thursday27</t>
  </si>
  <si>
    <t>friday27</t>
  </si>
  <si>
    <t>saturday27</t>
  </si>
  <si>
    <t xml:space="preserve">1 Epiphany/Baptism </t>
  </si>
  <si>
    <t>2 Epiphanya</t>
  </si>
  <si>
    <t>Isaiah 43:14-44:5,</t>
  </si>
  <si>
    <t>Isaiah 44:6-8, 21-23,</t>
  </si>
  <si>
    <t>Isaiah 44:9-20,</t>
  </si>
  <si>
    <t>Isaiah 44:24-45:7,</t>
  </si>
  <si>
    <t>Isaiah 45:5-17,</t>
  </si>
  <si>
    <t>Isaiah 45:18-25,</t>
  </si>
  <si>
    <t>Isaiah 46:1-13,</t>
  </si>
  <si>
    <t>Genesis 7:1-10, 17-23,</t>
  </si>
  <si>
    <t>Genesis 8:6-22,</t>
  </si>
  <si>
    <t>Genesis 9:1-17,</t>
  </si>
  <si>
    <t>Genesis 9:18-29,</t>
  </si>
  <si>
    <t>Genesis 11:1-9,</t>
  </si>
  <si>
    <t>Genesis 11:27-12:8,</t>
  </si>
  <si>
    <t>Genesis 12:9-13:1,</t>
  </si>
  <si>
    <t>Sunday 28</t>
  </si>
  <si>
    <t>Monday28</t>
  </si>
  <si>
    <t>Tuesday28</t>
  </si>
  <si>
    <t>Wednesday28</t>
  </si>
  <si>
    <t>Thursday28</t>
  </si>
  <si>
    <t>friday28</t>
  </si>
  <si>
    <t>saturday28</t>
  </si>
  <si>
    <t>NEW CALENDAR</t>
  </si>
  <si>
    <t>Var form correct</t>
  </si>
  <si>
    <t>(Transfiguration)</t>
  </si>
  <si>
    <t>(blank)</t>
  </si>
  <si>
    <t>2 Epiphany b</t>
  </si>
  <si>
    <t>Hebrews 6:17-7:10,</t>
  </si>
  <si>
    <t>Ephesians 5:1-14,</t>
  </si>
  <si>
    <t>Ephesians 5:15-33,</t>
  </si>
  <si>
    <t>Ephesians6:1-9,</t>
  </si>
  <si>
    <t>Ephesians 6:10-24,</t>
  </si>
  <si>
    <t>Hebrews 4:14-5:6,</t>
  </si>
  <si>
    <t>Hebrews 5:7-14,</t>
  </si>
  <si>
    <t>Hebrews 6:1-12,</t>
  </si>
  <si>
    <t>Hebrews 6:13-20,</t>
  </si>
  <si>
    <t>Hebrews 7:1-17,</t>
  </si>
  <si>
    <t>Hebrews 7:18-28,</t>
  </si>
  <si>
    <t>Sunday 29</t>
  </si>
  <si>
    <t>Monday29</t>
  </si>
  <si>
    <t>Tuesday29</t>
  </si>
  <si>
    <t>Wednesday29</t>
  </si>
  <si>
    <t>Thursday29</t>
  </si>
  <si>
    <t>friday29</t>
  </si>
  <si>
    <t>saturday29</t>
  </si>
  <si>
    <t xml:space="preserve"> -------------</t>
  </si>
  <si>
    <t>2 Epiphany c</t>
  </si>
  <si>
    <t>John 4:27-42</t>
  </si>
  <si>
    <t>Mark 3:7-19a</t>
  </si>
  <si>
    <t>Mark 3:19b-35</t>
  </si>
  <si>
    <t>Mark 4:1-20</t>
  </si>
  <si>
    <t>Mark 4:21-34</t>
  </si>
  <si>
    <t>Mark 4:35-41</t>
  </si>
  <si>
    <t>Mark 5:1-20</t>
  </si>
  <si>
    <t>Mark 3:7-19</t>
  </si>
  <si>
    <t>John 2:23-3:15</t>
  </si>
  <si>
    <t>John 3:22-36</t>
  </si>
  <si>
    <t>John 4:1-15</t>
  </si>
  <si>
    <t>John 4:16-26</t>
  </si>
  <si>
    <t>Sunday 30</t>
  </si>
  <si>
    <t>Monday30</t>
  </si>
  <si>
    <t>Tuesday30</t>
  </si>
  <si>
    <t>Wednesday30</t>
  </si>
  <si>
    <t>Thursday30</t>
  </si>
  <si>
    <t>friday30</t>
  </si>
  <si>
    <t>saturday30</t>
  </si>
  <si>
    <t>3 Epiphany a</t>
  </si>
  <si>
    <t>Isaiah 47:1-15,</t>
  </si>
  <si>
    <t>Isaiah 48:1-11,</t>
  </si>
  <si>
    <t>Isaiah 48:12-21 (22),</t>
  </si>
  <si>
    <t>Isaiah 49:1-12,</t>
  </si>
  <si>
    <t>Isaiah 49:13-23 (24-26),</t>
  </si>
  <si>
    <t>Isaiah 50:1-11,</t>
  </si>
  <si>
    <t>Isaiah 51:1-8,</t>
  </si>
  <si>
    <t>Genesis 13:2-18,</t>
  </si>
  <si>
    <t>Genesis 14:(1-7) 8-24,</t>
  </si>
  <si>
    <t>Genesis 15:1-11, 17-21,</t>
  </si>
  <si>
    <t>Genesis 16:1-14,</t>
  </si>
  <si>
    <t>Genesis 16:15-17:14,</t>
  </si>
  <si>
    <t>Genesis 17:15-27,</t>
  </si>
  <si>
    <t>Genesis 18:1-16,</t>
  </si>
  <si>
    <t>Sunday 31</t>
  </si>
  <si>
    <t>Monday31</t>
  </si>
  <si>
    <t>Tuesday31</t>
  </si>
  <si>
    <t>Wednesday31</t>
  </si>
  <si>
    <t>Thursday31</t>
  </si>
  <si>
    <t>friday31</t>
  </si>
  <si>
    <t>saturday31</t>
  </si>
  <si>
    <t xml:space="preserve">2 Epiphany </t>
  </si>
  <si>
    <t>3 Epiphany b</t>
  </si>
  <si>
    <t>Hebrews 10:19-31,</t>
  </si>
  <si>
    <t>Galatians 1:1-17,</t>
  </si>
  <si>
    <t>Galatians 1:18-2:10,</t>
  </si>
  <si>
    <t>Galatians 2:11-21,</t>
  </si>
  <si>
    <t>Galatians 3:23-29,</t>
  </si>
  <si>
    <t>Galatians 2:1-10,</t>
  </si>
  <si>
    <t>Hebrews 8:1-13,</t>
  </si>
  <si>
    <t>Hebrews 9:1-14,</t>
  </si>
  <si>
    <t>Hebrews 9:15-28,</t>
  </si>
  <si>
    <t>Hebrews 10:1-10,</t>
  </si>
  <si>
    <t>Hebrews 10:11-25,</t>
  </si>
  <si>
    <t>Hebrews 10:26-39,</t>
  </si>
  <si>
    <t>Sunday 32</t>
  </si>
  <si>
    <t>Monday32</t>
  </si>
  <si>
    <t>Tuesday32</t>
  </si>
  <si>
    <t>Wednesday32</t>
  </si>
  <si>
    <t>Thursday32</t>
  </si>
  <si>
    <t>friday32</t>
  </si>
  <si>
    <t>saturday32</t>
  </si>
  <si>
    <t>3 Epiphany c</t>
  </si>
  <si>
    <t>John 5:2-18</t>
  </si>
  <si>
    <t>Mark 5:21-43</t>
  </si>
  <si>
    <t>Mark 6:1-13</t>
  </si>
  <si>
    <t>Mark 6:13-29</t>
  </si>
  <si>
    <t>Mark 6:30-46</t>
  </si>
  <si>
    <t>Mark 6:47-56</t>
  </si>
  <si>
    <t>Mark 7:1-23</t>
  </si>
  <si>
    <t>Mark 7:31-37</t>
  </si>
  <si>
    <t>John 4:43-54</t>
  </si>
  <si>
    <t>John 5:1-18</t>
  </si>
  <si>
    <t>John 5:19-29</t>
  </si>
  <si>
    <t>John 6:1-15</t>
  </si>
  <si>
    <t>John 6:16-27</t>
  </si>
  <si>
    <t>Sunday 33</t>
  </si>
  <si>
    <t>Monday33</t>
  </si>
  <si>
    <t>Tuesday33</t>
  </si>
  <si>
    <t>Wednesday33</t>
  </si>
  <si>
    <t>Thursday33</t>
  </si>
  <si>
    <t>friday33</t>
  </si>
  <si>
    <t>saturday33</t>
  </si>
  <si>
    <t>( Table Ash Wed.hide)</t>
  </si>
  <si>
    <t>4 Epiphany a</t>
  </si>
  <si>
    <t>Isaiah 51:9-16,</t>
  </si>
  <si>
    <t>Isaiah 51:17-23,</t>
  </si>
  <si>
    <t>Isaiah 52:1-12,</t>
  </si>
  <si>
    <t>Isaiah 52:13-53:12,</t>
  </si>
  <si>
    <t>Isaiah 54:1-10 (11-17),</t>
  </si>
  <si>
    <t>Isaiah 55:1-13,</t>
  </si>
  <si>
    <t>Isaiah 56:1-8,</t>
  </si>
  <si>
    <t>Genesis 18:16-33,</t>
  </si>
  <si>
    <t>Genesis 19:1-17 (18-23) 24-29,</t>
  </si>
  <si>
    <t>Genesis 21:1-21,</t>
  </si>
  <si>
    <t>Genesis 22:1-18,</t>
  </si>
  <si>
    <t>Genesis 23:1-20,</t>
  </si>
  <si>
    <t>Genesis 24:1-27,</t>
  </si>
  <si>
    <t>Genesis 24:28-38, 49-51,</t>
  </si>
  <si>
    <t>Sunday 34</t>
  </si>
  <si>
    <t>Monday34</t>
  </si>
  <si>
    <t>Tuesday34</t>
  </si>
  <si>
    <t>Wednesday34</t>
  </si>
  <si>
    <t>Thursday34</t>
  </si>
  <si>
    <t>friday34</t>
  </si>
  <si>
    <t>saturday34</t>
  </si>
  <si>
    <t xml:space="preserve">3 Epiphany </t>
  </si>
  <si>
    <t>4 Epiphany b</t>
  </si>
  <si>
    <t>Hebrews 11:8-16,</t>
  </si>
  <si>
    <t>Galatians 4:1-11,</t>
  </si>
  <si>
    <t>Galatians 4:12-20,</t>
  </si>
  <si>
    <t>Galatians 4:21-31,</t>
  </si>
  <si>
    <t>Galatians 5:1-15,</t>
  </si>
  <si>
    <t>Galatians 5:16-24,</t>
  </si>
  <si>
    <t>Galatians 5:25-6:10,</t>
  </si>
  <si>
    <t>Galatians 5:13-25,</t>
  </si>
  <si>
    <t>Hebrews 11:32-12-2,</t>
  </si>
  <si>
    <t>Hebrews 12:3-11,</t>
  </si>
  <si>
    <t>Hebrews 12:12-29,</t>
  </si>
  <si>
    <t>Sunday 35</t>
  </si>
  <si>
    <t>Monday35</t>
  </si>
  <si>
    <t>Tuesday35</t>
  </si>
  <si>
    <t>Wednesday35</t>
  </si>
  <si>
    <t>Thursday35</t>
  </si>
  <si>
    <t>friday35</t>
  </si>
  <si>
    <t>saturday35</t>
  </si>
  <si>
    <t>4 Epiphany c</t>
  </si>
  <si>
    <t>John 7:14-31</t>
  </si>
  <si>
    <t>Mark 7:24-37</t>
  </si>
  <si>
    <t>Mark 8:1-10</t>
  </si>
  <si>
    <t>Mark 8:11-26</t>
  </si>
  <si>
    <t>Mark 8:27-9:1</t>
  </si>
  <si>
    <t>Mark 9:2-13</t>
  </si>
  <si>
    <t>Mark 9:14-29</t>
  </si>
  <si>
    <t>Mark 8:22-30</t>
  </si>
  <si>
    <t>John 6:27-40</t>
  </si>
  <si>
    <t>John 6:41-51</t>
  </si>
  <si>
    <t>John 6:52-59</t>
  </si>
  <si>
    <t>John 6:60-71</t>
  </si>
  <si>
    <t>John 7:1-13</t>
  </si>
  <si>
    <t>John 7:14-36</t>
  </si>
  <si>
    <t>Sunday 36</t>
  </si>
  <si>
    <t>Monday36</t>
  </si>
  <si>
    <t>Tuesday36</t>
  </si>
  <si>
    <t>Wednesday36</t>
  </si>
  <si>
    <t>Thursday36</t>
  </si>
  <si>
    <t>friday36</t>
  </si>
  <si>
    <t>saturday36</t>
  </si>
  <si>
    <t>4 Epiphany (variable)</t>
  </si>
  <si>
    <t>(March +leapyear adjustment)</t>
  </si>
  <si>
    <t>5 Epiphanya</t>
  </si>
  <si>
    <t>Isaiah 57:1-13,</t>
  </si>
  <si>
    <t>Isaiah 57:14-21,</t>
  </si>
  <si>
    <t>Isaiah 58:1-12,</t>
  </si>
  <si>
    <t>Isaiah 59:1-21,</t>
  </si>
  <si>
    <t>Isaiah 60:1-22,</t>
  </si>
  <si>
    <t>Isaiah 61:1-9,</t>
  </si>
  <si>
    <t>Isaiah 61:10-62:5,</t>
  </si>
  <si>
    <t>Genesis 24:50-67,</t>
  </si>
  <si>
    <t>Genesis 25:19-34,</t>
  </si>
  <si>
    <t>Genesis 26:1-6, 12-33,</t>
  </si>
  <si>
    <t>Genesis 27:1-29,</t>
  </si>
  <si>
    <t>Genesis 27:30-45,</t>
  </si>
  <si>
    <t>Genesis 27:46-28:4, 10-22,</t>
  </si>
  <si>
    <t>Genesis 29:1-20,</t>
  </si>
  <si>
    <t>Sunday 37</t>
  </si>
  <si>
    <t>Monday37</t>
  </si>
  <si>
    <t>Tuesday37</t>
  </si>
  <si>
    <t>Wednesday37</t>
  </si>
  <si>
    <t>Thursday37</t>
  </si>
  <si>
    <t>friday37</t>
  </si>
  <si>
    <t>saturday37</t>
  </si>
  <si>
    <t>5 Epiphany b</t>
  </si>
  <si>
    <t>Hebrews 12:1-6,</t>
  </si>
  <si>
    <t>Galatians 6:11-18,</t>
  </si>
  <si>
    <t>2 Timothy 1:1-14,</t>
  </si>
  <si>
    <t>2 Timothy 1:15-2:13,</t>
  </si>
  <si>
    <t>2 Timothy 2:14-26,</t>
  </si>
  <si>
    <t>2 Timothy 3:1-17,</t>
  </si>
  <si>
    <t>2 Timothy 4:1-8,</t>
  </si>
  <si>
    <t>2 Timothy 2:14-21,</t>
  </si>
  <si>
    <t>Hebrews 13:1-16,</t>
  </si>
  <si>
    <t>Hebrews 13:17-25,</t>
  </si>
  <si>
    <t>Romans 12:1-8,</t>
  </si>
  <si>
    <t>Romans 12:9-21,</t>
  </si>
  <si>
    <t>Romans 13:1-14,</t>
  </si>
  <si>
    <t>Romans 14:1-23,</t>
  </si>
  <si>
    <t>Sunday 38</t>
  </si>
  <si>
    <t>Monday38</t>
  </si>
  <si>
    <t>Tuesday38</t>
  </si>
  <si>
    <t>Wednesday38</t>
  </si>
  <si>
    <t>Thursday38</t>
  </si>
  <si>
    <t>friday38</t>
  </si>
  <si>
    <t>saturday38</t>
  </si>
  <si>
    <t>5 Epiphany c</t>
  </si>
  <si>
    <t>John 7:37-46</t>
  </si>
  <si>
    <t>Mark 9:30-41</t>
  </si>
  <si>
    <t>Mark 9:42-50</t>
  </si>
  <si>
    <t>Mark 10:1-16</t>
  </si>
  <si>
    <t>Mark 10:17-31</t>
  </si>
  <si>
    <t>Mark 10:32-45</t>
  </si>
  <si>
    <t>Mark 10:46-52</t>
  </si>
  <si>
    <t>Mark 10:13-22</t>
  </si>
  <si>
    <t>John 8:12-20</t>
  </si>
  <si>
    <t>John 8:21-32</t>
  </si>
  <si>
    <t>John 8:33-47</t>
  </si>
  <si>
    <t>John 8:47-59</t>
  </si>
  <si>
    <t>Sunday 39</t>
  </si>
  <si>
    <t>Monday39</t>
  </si>
  <si>
    <t>Tuesday39</t>
  </si>
  <si>
    <t>Wednesday39</t>
  </si>
  <si>
    <t>Thursday39</t>
  </si>
  <si>
    <t>friday39</t>
  </si>
  <si>
    <t>saturday39</t>
  </si>
  <si>
    <t>5 Epiphany (variable)</t>
  </si>
  <si>
    <t>March adjustment</t>
  </si>
  <si>
    <t>6 Epiphany a</t>
  </si>
  <si>
    <t>Isaiah 62:6-12,</t>
  </si>
  <si>
    <t>Isaiah 63:1-6,</t>
  </si>
  <si>
    <t>Isaiah 63:7-14,</t>
  </si>
  <si>
    <t>Isaiah 63:15-64:9,</t>
  </si>
  <si>
    <t>Isaiah 65:1-12,</t>
  </si>
  <si>
    <t>Isaiah 665:17-25,</t>
  </si>
  <si>
    <t>Isaiah 66:1-6,</t>
  </si>
  <si>
    <t>Genesis 29:20-35,</t>
  </si>
  <si>
    <t>Genesis 30:1-24,</t>
  </si>
  <si>
    <t>Genesis 31:1-24,</t>
  </si>
  <si>
    <t>Genesis 31:25-50,</t>
  </si>
  <si>
    <t>Genesis 32:3-21,</t>
  </si>
  <si>
    <t>Genesis 32:22-33:17,</t>
  </si>
  <si>
    <t>Genesis 35:1-20,</t>
  </si>
  <si>
    <t>Sunday 40</t>
  </si>
  <si>
    <t>Monday40</t>
  </si>
  <si>
    <t>Tuesday40</t>
  </si>
  <si>
    <t>Wednesday40</t>
  </si>
  <si>
    <t>Thursday40</t>
  </si>
  <si>
    <t>friday40</t>
  </si>
  <si>
    <t>saturday40</t>
  </si>
  <si>
    <t>6 Epiphany b</t>
  </si>
  <si>
    <t>1 John 2:3-11,</t>
  </si>
  <si>
    <t>1 Timothy 1:1-17,</t>
  </si>
  <si>
    <t>1 Timothy 1:18-2:8 (9-15),</t>
  </si>
  <si>
    <t>1 Timothy 3:1-16,</t>
  </si>
  <si>
    <t>1 Timothy 4:1-16,</t>
  </si>
  <si>
    <t>1 Timothy 5:(1-16 )17-22,</t>
  </si>
  <si>
    <t>1 Timothy 6:(1-5) 6-21,</t>
  </si>
  <si>
    <t>1 Timothy 3:14-4:10,</t>
  </si>
  <si>
    <t>1 John 1:1-10,</t>
  </si>
  <si>
    <t>1 John 2:1-11,</t>
  </si>
  <si>
    <t>1 John 2:18-29,</t>
  </si>
  <si>
    <t>1 John 3:1-10,</t>
  </si>
  <si>
    <t>1 John 3:11-18,</t>
  </si>
  <si>
    <t>Sunday 41</t>
  </si>
  <si>
    <t>Monday41</t>
  </si>
  <si>
    <t>Tuesday41</t>
  </si>
  <si>
    <t>Wednesday41</t>
  </si>
  <si>
    <t>Thursday41</t>
  </si>
  <si>
    <t>friday41</t>
  </si>
  <si>
    <t>saturday41</t>
  </si>
  <si>
    <t>6 Epiphany c</t>
  </si>
  <si>
    <t>Mark 11:1-11</t>
  </si>
  <si>
    <t>Mark 11:12-26</t>
  </si>
  <si>
    <t>Mark 11:27-12:12</t>
  </si>
  <si>
    <t>Mark 12:13-27</t>
  </si>
  <si>
    <t>Mark 12:28-34</t>
  </si>
  <si>
    <t>Mark 12: 35-44</t>
  </si>
  <si>
    <t>Mark 10:23-31</t>
  </si>
  <si>
    <t>John 9:1-17</t>
  </si>
  <si>
    <t>John 9:18-41</t>
  </si>
  <si>
    <t>John 10:1-18</t>
  </si>
  <si>
    <t>John10:19-30</t>
  </si>
  <si>
    <t>John 10:31-42</t>
  </si>
  <si>
    <t>John 11:1-16</t>
  </si>
  <si>
    <t>Sunday 42</t>
  </si>
  <si>
    <t>Monday42</t>
  </si>
  <si>
    <t>Tuesday42</t>
  </si>
  <si>
    <t>Wednesday42</t>
  </si>
  <si>
    <t>Thursday42</t>
  </si>
  <si>
    <t>friday42</t>
  </si>
  <si>
    <t>saturday42</t>
  </si>
  <si>
    <t>6 Epiphany (variable)</t>
  </si>
  <si>
    <t>Table Sundays after Epiphany</t>
  </si>
  <si>
    <t>7 Epiphany a</t>
  </si>
  <si>
    <t>Isaiah 66:7-14,</t>
  </si>
  <si>
    <t>Ruth 1:1-14,</t>
  </si>
  <si>
    <t>Ruth 1:15-22,</t>
  </si>
  <si>
    <t>Ruth 2:1-13,</t>
  </si>
  <si>
    <t>Ruth 2:14-23,</t>
  </si>
  <si>
    <t>Ruth 3:1-18,</t>
  </si>
  <si>
    <t xml:space="preserve">Ruth 4:1-22, </t>
  </si>
  <si>
    <t>Proverbs 1:20-33,</t>
  </si>
  <si>
    <t>Proverbs 3:11-20,</t>
  </si>
  <si>
    <t>Proverbs 4:1-27,</t>
  </si>
  <si>
    <t>Proverbs 6:1-19,</t>
  </si>
  <si>
    <t>Proverbs 7:1-27,</t>
  </si>
  <si>
    <t>Proverbs 8:1-21,</t>
  </si>
  <si>
    <t>Proverbs 8:22-36,</t>
  </si>
  <si>
    <t>Sunday 43</t>
  </si>
  <si>
    <t>Monday43</t>
  </si>
  <si>
    <t>Tuesday43</t>
  </si>
  <si>
    <t>Wednesday43</t>
  </si>
  <si>
    <t>Thursday43</t>
  </si>
  <si>
    <t>friday43</t>
  </si>
  <si>
    <t>saturday43</t>
  </si>
  <si>
    <t>7 Epiphany b</t>
  </si>
  <si>
    <t>1 John 3:4-10,</t>
  </si>
  <si>
    <t>2 Corinthians 1:1-11,</t>
  </si>
  <si>
    <t>2 Corinthians 1:12-22,</t>
  </si>
  <si>
    <t>2 Corinthians 1:23-2:17,</t>
  </si>
  <si>
    <t>2 Corinthians 3:1-18,</t>
  </si>
  <si>
    <t>2 Corinthians 4:1-12,</t>
  </si>
  <si>
    <t>2 Corinthians 4:13-5:10,</t>
  </si>
  <si>
    <t>2 Corinthians 5:11-21,</t>
  </si>
  <si>
    <t>1 John 3:18-4:6,</t>
  </si>
  <si>
    <t>1 John 4:7-21,</t>
  </si>
  <si>
    <t>1 John 5:13-21,</t>
  </si>
  <si>
    <t>Philemon 1-25,</t>
  </si>
  <si>
    <t>Sunday 44</t>
  </si>
  <si>
    <t>Monday44</t>
  </si>
  <si>
    <t>Tuesday44</t>
  </si>
  <si>
    <t>Wednesday44</t>
  </si>
  <si>
    <t>Thursday44</t>
  </si>
  <si>
    <t>friday44</t>
  </si>
  <si>
    <t>saturday44</t>
  </si>
  <si>
    <t>7 Epiphany c</t>
  </si>
  <si>
    <t>John 10:7-16</t>
  </si>
  <si>
    <t>Matthew 5:1-12</t>
  </si>
  <si>
    <t>Matthew 5:13-20</t>
  </si>
  <si>
    <t>Matthew 5:21-26</t>
  </si>
  <si>
    <t>Matthew 5:27-37</t>
  </si>
  <si>
    <t>Matthew 5:38-48</t>
  </si>
  <si>
    <t>Matthew 6:1-6</t>
  </si>
  <si>
    <t>Mark 10:35-45</t>
  </si>
  <si>
    <t>John 11:17-29</t>
  </si>
  <si>
    <t>John 11:30-44</t>
  </si>
  <si>
    <t>John 11:45-54</t>
  </si>
  <si>
    <t>John 11:55-12:8</t>
  </si>
  <si>
    <t>John 12:9-19</t>
  </si>
  <si>
    <t>John 12:20-26</t>
  </si>
  <si>
    <t>Sunday 45</t>
  </si>
  <si>
    <t>Monday45</t>
  </si>
  <si>
    <t>Tuesday45</t>
  </si>
  <si>
    <t>Wednesday45</t>
  </si>
  <si>
    <t>Thursday45</t>
  </si>
  <si>
    <t>friday45</t>
  </si>
  <si>
    <t>saturday45</t>
  </si>
  <si>
    <t>Easter date</t>
  </si>
  <si>
    <t>8 Epiphany a</t>
  </si>
  <si>
    <t>Deuteronomy 4:1-9,</t>
  </si>
  <si>
    <t>Deuteronomy 4:9-14,</t>
  </si>
  <si>
    <t>Deuteronomy 4:15-24,</t>
  </si>
  <si>
    <t>Deuteronomy 4:25-31,</t>
  </si>
  <si>
    <t>Deuteronomy 4:32-40,</t>
  </si>
  <si>
    <t>Deuteronomy 5:1-22,</t>
  </si>
  <si>
    <t>Deuteronomy 5:22-33,</t>
  </si>
  <si>
    <t>Proverbs 9:1-12,</t>
  </si>
  <si>
    <t>Proverbs 10:1-12,</t>
  </si>
  <si>
    <t>Proverbs 15:16-33,</t>
  </si>
  <si>
    <t>Proverbs 17:1-20,</t>
  </si>
  <si>
    <t>Proverbs 21:30-22:6,</t>
  </si>
  <si>
    <t>Proverbs 23:19-21. 29-24:2,</t>
  </si>
  <si>
    <t>Proverbs 25:15-28,</t>
  </si>
  <si>
    <t>Sunday 46</t>
  </si>
  <si>
    <t>Monday46</t>
  </si>
  <si>
    <t>Tuesday46</t>
  </si>
  <si>
    <t>Wednesday46</t>
  </si>
  <si>
    <t>Thursday46</t>
  </si>
  <si>
    <t>friday46</t>
  </si>
  <si>
    <t>saturday46</t>
  </si>
  <si>
    <t xml:space="preserve">7 Epiphany (variable) </t>
  </si>
  <si>
    <t>7 Epiphany (variable)</t>
  </si>
  <si>
    <t>8 Epiphany b</t>
  </si>
  <si>
    <t>2 Corinthians 10:1-18,</t>
  </si>
  <si>
    <t>2 Corinthians 11:1-21a,</t>
  </si>
  <si>
    <t>2 Corinthians 11:21b-33,</t>
  </si>
  <si>
    <t>2 Corinthians 12:1-10,</t>
  </si>
  <si>
    <t>2 Corinthians 12:11-21,</t>
  </si>
  <si>
    <t>2 Corinthians 13:1-14,</t>
  </si>
  <si>
    <t>2 Corinthians 9:6b-15,</t>
  </si>
  <si>
    <t>2 Timothy 4:9-22,</t>
  </si>
  <si>
    <t>Philippians 1:1-11,</t>
  </si>
  <si>
    <t>Sunday 47</t>
  </si>
  <si>
    <t>Monday47</t>
  </si>
  <si>
    <t>Tuesday47</t>
  </si>
  <si>
    <t>Wednesday47</t>
  </si>
  <si>
    <t>Thursday47</t>
  </si>
  <si>
    <t>friday47</t>
  </si>
  <si>
    <t>saturday47</t>
  </si>
  <si>
    <t>8 Epiphany c</t>
  </si>
  <si>
    <t>John 12:1-8</t>
  </si>
  <si>
    <t>Matthew 6:7-15</t>
  </si>
  <si>
    <t>Matthew 6:16-23</t>
  </si>
  <si>
    <t>Matthew 6:24-34</t>
  </si>
  <si>
    <t>Matthew 7:1-12</t>
  </si>
  <si>
    <t>Matthew 7:13-21</t>
  </si>
  <si>
    <t>Matthew 7:22-29</t>
  </si>
  <si>
    <t>John 12:27-36a</t>
  </si>
  <si>
    <t>John 12:36b-50</t>
  </si>
  <si>
    <t>John 13:1-20</t>
  </si>
  <si>
    <t>John 3:21-30</t>
  </si>
  <si>
    <t>John 13:31-38</t>
  </si>
  <si>
    <t>John 18:1-14</t>
  </si>
  <si>
    <t>Sunday 48</t>
  </si>
  <si>
    <t>Monday48</t>
  </si>
  <si>
    <t>Tuesday48</t>
  </si>
  <si>
    <t>Wednesday48</t>
  </si>
  <si>
    <t>Thursday48</t>
  </si>
  <si>
    <t>friday48</t>
  </si>
  <si>
    <t>saturday48</t>
  </si>
  <si>
    <t>Ash Wed March Date</t>
  </si>
  <si>
    <t>Sunday 49</t>
  </si>
  <si>
    <t>Monday49</t>
  </si>
  <si>
    <t>Tuesday49</t>
  </si>
  <si>
    <t>Wednesday49</t>
  </si>
  <si>
    <t>Thursday49</t>
  </si>
  <si>
    <t>friday49</t>
  </si>
  <si>
    <t>saturday49</t>
  </si>
  <si>
    <t xml:space="preserve">8 Epiphany (variable) </t>
  </si>
  <si>
    <t>Transfiguration a</t>
  </si>
  <si>
    <t>Daniel 7:9-10, 13-14,</t>
  </si>
  <si>
    <t>Deuteronomy 6:1-15,</t>
  </si>
  <si>
    <t>Deuteronomy 6:16-25,</t>
  </si>
  <si>
    <t>Jonah 3:1-4:11,</t>
  </si>
  <si>
    <t>Deuteronomy 7:6-11,</t>
  </si>
  <si>
    <t>Deuteronomy 7:12-16,</t>
  </si>
  <si>
    <t>Deuteronomy 7:17-26,</t>
  </si>
  <si>
    <t>Malachi 4:1-6,</t>
  </si>
  <si>
    <t>Proverbs 27:1-6, 10-12,</t>
  </si>
  <si>
    <t>Proverbs 30:1-4, 24-33,</t>
  </si>
  <si>
    <t>Amos 5:6-15,</t>
  </si>
  <si>
    <t>Habakkuk 3:1-10 (11-15) 16-18,</t>
  </si>
  <si>
    <t>Ezekiel 18:1-4, 25-32,</t>
  </si>
  <si>
    <t>Ezekiel 39:21-29,</t>
  </si>
  <si>
    <t>Sunday 50</t>
  </si>
  <si>
    <t>Monday50</t>
  </si>
  <si>
    <t>Tuesday50</t>
  </si>
  <si>
    <t>Wednesday50</t>
  </si>
  <si>
    <t>Thursday50</t>
  </si>
  <si>
    <t>friday50</t>
  </si>
  <si>
    <t>saturday50</t>
  </si>
  <si>
    <t>Transfiguration b</t>
  </si>
  <si>
    <t>2 Corinthians 3:1-9,</t>
  </si>
  <si>
    <t>Hebrews 12:1-14,</t>
  </si>
  <si>
    <t>Titus 2:1-15,</t>
  </si>
  <si>
    <t>Titus 3:1-15,</t>
  </si>
  <si>
    <t>2 Corinthians 3:7-18,</t>
  </si>
  <si>
    <t>Philippians 2:1-13,</t>
  </si>
  <si>
    <t>Philippians 3:1-11,</t>
  </si>
  <si>
    <t>Philippians 3:12-21,</t>
  </si>
  <si>
    <t>Philippians 4:1-9,</t>
  </si>
  <si>
    <t>Philippians 4:10-20,</t>
  </si>
  <si>
    <t>Sunday 51</t>
  </si>
  <si>
    <t>Monday51</t>
  </si>
  <si>
    <t>Tuesday51</t>
  </si>
  <si>
    <t>Wednesday51</t>
  </si>
  <si>
    <t>Thursday51</t>
  </si>
  <si>
    <t>friday51</t>
  </si>
  <si>
    <t>saturday51</t>
  </si>
  <si>
    <t>Last Epiphany</t>
  </si>
  <si>
    <t>Table Septuagesima</t>
  </si>
  <si>
    <t>transfiguration c</t>
  </si>
  <si>
    <t>Luke 18:9-14</t>
  </si>
  <si>
    <t>John 1:35-42</t>
  </si>
  <si>
    <t>Luke 9:18-27</t>
  </si>
  <si>
    <t>John 18:15-18, 25-27</t>
  </si>
  <si>
    <t>John 18:28-38</t>
  </si>
  <si>
    <t>John 17:1-8</t>
  </si>
  <si>
    <t>John 17:9-19</t>
  </si>
  <si>
    <t>John 17:20-26</t>
  </si>
  <si>
    <t>Sunday 52</t>
  </si>
  <si>
    <t>Monday52</t>
  </si>
  <si>
    <t>Tuesday52</t>
  </si>
  <si>
    <t>Wednesday52</t>
  </si>
  <si>
    <t>Thursday52</t>
  </si>
  <si>
    <t>friday52</t>
  </si>
  <si>
    <t>saturday52</t>
  </si>
  <si>
    <t>(Ash Wed)</t>
  </si>
  <si>
    <t>1 Lent a</t>
  </si>
  <si>
    <t>Jeremiah 9:23-24,</t>
  </si>
  <si>
    <t>Deuteronomy 8:1-20,</t>
  </si>
  <si>
    <t>Deuteronomy 9:(1-3) 4-12,</t>
  </si>
  <si>
    <t>Deuteronomy 9:13-21,</t>
  </si>
  <si>
    <t>Deuteronomy 9:23-10:5,</t>
  </si>
  <si>
    <t>Deuteronomy 10:12-22,</t>
  </si>
  <si>
    <t>Deuteronomy 11:18-28,</t>
  </si>
  <si>
    <t>Daniel 9:3-10,</t>
  </si>
  <si>
    <t>Genesis 37:1-11,</t>
  </si>
  <si>
    <t>Genesis 37:12-24,</t>
  </si>
  <si>
    <t>Genesis 37:25-36,</t>
  </si>
  <si>
    <t>Genesis 39:1-23,</t>
  </si>
  <si>
    <t>Genesis 40:1-23,</t>
  </si>
  <si>
    <t>Genesis 41:1-13,</t>
  </si>
  <si>
    <t>Sunday 53</t>
  </si>
  <si>
    <t>Monday53</t>
  </si>
  <si>
    <t>Tuesday53</t>
  </si>
  <si>
    <t>Wednesday53</t>
  </si>
  <si>
    <t>Thursday53</t>
  </si>
  <si>
    <t>friday53</t>
  </si>
  <si>
    <t>saturday53</t>
  </si>
  <si>
    <t>(Quinquaguessima)</t>
  </si>
  <si>
    <t>1 Lent b</t>
  </si>
  <si>
    <t>1 Corinthians 1:18-31,</t>
  </si>
  <si>
    <t>Hebrews 4:1-10,</t>
  </si>
  <si>
    <t>Hebrews 4:11-16,</t>
  </si>
  <si>
    <t>Hebrews 5:1-10,</t>
  </si>
  <si>
    <t>1 Corinthians 1:1-19,</t>
  </si>
  <si>
    <t>1 Corinthians 1:20-31,</t>
  </si>
  <si>
    <t>1 Corinthians 2:1-13,</t>
  </si>
  <si>
    <t>1 Corinthians 2:14-3:15,</t>
  </si>
  <si>
    <t>1 Corinthians 3:16-23,</t>
  </si>
  <si>
    <t>1 Corinthians 4:1-7,</t>
  </si>
  <si>
    <t>Sunday 54</t>
  </si>
  <si>
    <t>Monday54</t>
  </si>
  <si>
    <t>Tuesday54</t>
  </si>
  <si>
    <t>Wednesday54</t>
  </si>
  <si>
    <t>Thursday54</t>
  </si>
  <si>
    <t>friday54</t>
  </si>
  <si>
    <t>saturday54</t>
  </si>
  <si>
    <t>1 Lent</t>
  </si>
  <si>
    <t>Sundays after Epiphany corrected</t>
  </si>
  <si>
    <t>1 Lent c</t>
  </si>
  <si>
    <t>Mark 2:18-22</t>
  </si>
  <si>
    <t>John 4:1-26</t>
  </si>
  <si>
    <t>John 12:44-50</t>
  </si>
  <si>
    <t>Mark 1:14:28</t>
  </si>
  <si>
    <t>Sunday 55</t>
  </si>
  <si>
    <t>Monday55</t>
  </si>
  <si>
    <t>Tuesday55</t>
  </si>
  <si>
    <t>Wednesday55</t>
  </si>
  <si>
    <t>Thursday55</t>
  </si>
  <si>
    <t>friday55</t>
  </si>
  <si>
    <t>saturday55</t>
  </si>
  <si>
    <t>2 Lent a</t>
  </si>
  <si>
    <t>Jeremiah 1:1-10,</t>
  </si>
  <si>
    <t>Jeremiah 1:11-19,</t>
  </si>
  <si>
    <t>Jeremiah 2:1-13, 29-32,</t>
  </si>
  <si>
    <t>Jeremiah 3:6-18,</t>
  </si>
  <si>
    <t>Jeremiah 4:9-10, 19-28,</t>
  </si>
  <si>
    <t>Jeremiah 5:1-9,</t>
  </si>
  <si>
    <t>Jeremiah 5:20-31,</t>
  </si>
  <si>
    <t>Genesis 41:14-45,</t>
  </si>
  <si>
    <t>Genesis 41:46-57,</t>
  </si>
  <si>
    <t>Genesis 42:1-17,</t>
  </si>
  <si>
    <t>Genesis 42:18-28,</t>
  </si>
  <si>
    <t>Genesis 42:29-38,</t>
  </si>
  <si>
    <t>Genesis 43:1-15,</t>
  </si>
  <si>
    <t>Genesis 43:16-34,</t>
  </si>
  <si>
    <t>Sunday 56</t>
  </si>
  <si>
    <t>Monday56</t>
  </si>
  <si>
    <t>Tuesday56</t>
  </si>
  <si>
    <t>Wednesday56</t>
  </si>
  <si>
    <t>Thursday56</t>
  </si>
  <si>
    <t>friday56</t>
  </si>
  <si>
    <t>saturday56</t>
  </si>
  <si>
    <t>(edate corrected Hide)</t>
  </si>
  <si>
    <t>2 Lent b</t>
  </si>
  <si>
    <t>1 Corinthians 3:11-23,</t>
  </si>
  <si>
    <t>Romans 1:1-15,</t>
  </si>
  <si>
    <t>Romans 1:16-25,</t>
  </si>
  <si>
    <t>Romans 1:(26-27) 28-2:11,</t>
  </si>
  <si>
    <t>Romans 2:12-24,</t>
  </si>
  <si>
    <t>Romans 2:25-3:18,</t>
  </si>
  <si>
    <t>Romans 3:19-31,</t>
  </si>
  <si>
    <t>Romans 6:3-14,</t>
  </si>
  <si>
    <t>1 Corinthians 4:8-20 (21),</t>
  </si>
  <si>
    <t>1 Corinthians 5:1-8,</t>
  </si>
  <si>
    <t>1 Corinthians 5:9-6:11,</t>
  </si>
  <si>
    <t>1 Corinthians 6:12-20,</t>
  </si>
  <si>
    <t>1 Corinthians 7:1-9,</t>
  </si>
  <si>
    <t>1 Corinthians 7:10-24,</t>
  </si>
  <si>
    <t>Sunday 57</t>
  </si>
  <si>
    <t>Monday57</t>
  </si>
  <si>
    <t>Tuesday57</t>
  </si>
  <si>
    <t>Wednesday57</t>
  </si>
  <si>
    <t>Thursday57</t>
  </si>
  <si>
    <t>friday57</t>
  </si>
  <si>
    <t>saturday57</t>
  </si>
  <si>
    <t>2 Lent</t>
  </si>
  <si>
    <t>2 Lent c</t>
  </si>
  <si>
    <t>Mark 3:31-4:9</t>
  </si>
  <si>
    <t>John 5:19-24</t>
  </si>
  <si>
    <t>Sunday 58</t>
  </si>
  <si>
    <t>Monday58</t>
  </si>
  <si>
    <t>Tuesday58</t>
  </si>
  <si>
    <t>Wednesday58</t>
  </si>
  <si>
    <t>Thursday58</t>
  </si>
  <si>
    <t>friday58</t>
  </si>
  <si>
    <t>saturday58</t>
  </si>
  <si>
    <t>3 Lent a</t>
  </si>
  <si>
    <t>Jeremiah 6:9-15,</t>
  </si>
  <si>
    <t>Jeremiah 7:1-15,</t>
  </si>
  <si>
    <t>Jeremiah 7:21-34,</t>
  </si>
  <si>
    <t>Jeremiah 8:4-7, 18-9:6,</t>
  </si>
  <si>
    <t>Jeremiah 10:11-24,</t>
  </si>
  <si>
    <t>Jeremiah 11:1-8, 14-17,</t>
  </si>
  <si>
    <t>Jeremiah 13:1-11,</t>
  </si>
  <si>
    <t>Genesis 44:1-17,</t>
  </si>
  <si>
    <t>Genesis 44:18:34,</t>
  </si>
  <si>
    <t>Genesis 45:1-15,</t>
  </si>
  <si>
    <t>Genesis 45:16-28,</t>
  </si>
  <si>
    <t>Genesis 46:1-7, 28-34,</t>
  </si>
  <si>
    <t>Genesis 47:1-26,</t>
  </si>
  <si>
    <t>Genesis 47:27-48:7,</t>
  </si>
  <si>
    <t>Sunday 59</t>
  </si>
  <si>
    <t>Monday59</t>
  </si>
  <si>
    <t>Tuesday59</t>
  </si>
  <si>
    <t>Wednesday59</t>
  </si>
  <si>
    <t>Thursday59</t>
  </si>
  <si>
    <t>friday59</t>
  </si>
  <si>
    <t>saturday59</t>
  </si>
  <si>
    <t>Septua corrected</t>
  </si>
  <si>
    <t>3 Lent b</t>
  </si>
  <si>
    <t>Romans 4:1-12,</t>
  </si>
  <si>
    <t>Romans 4:13-25,</t>
  </si>
  <si>
    <t>Romans 5:1-11,</t>
  </si>
  <si>
    <t>Romans 5:12-21,</t>
  </si>
  <si>
    <t>Romans 6:1-11,</t>
  </si>
  <si>
    <t>Romans 6:12-23,</t>
  </si>
  <si>
    <t>Romans 8:1-10,</t>
  </si>
  <si>
    <t>1 Corinthians 7:25-31,</t>
  </si>
  <si>
    <t>1 Corinthians 7:32-40,</t>
  </si>
  <si>
    <t>1 Corinthians 8:1-13,</t>
  </si>
  <si>
    <t>1 Corinthians 9:1-15,</t>
  </si>
  <si>
    <t>1 Corinthians 9:16-27,</t>
  </si>
  <si>
    <t>1 Corinthians 10:1-13,</t>
  </si>
  <si>
    <t>Sunday 60</t>
  </si>
  <si>
    <t>Monday60</t>
  </si>
  <si>
    <t>Tuesday60</t>
  </si>
  <si>
    <t>Wednesday60</t>
  </si>
  <si>
    <t>Thursday60</t>
  </si>
  <si>
    <t>friday60</t>
  </si>
  <si>
    <t>saturday60</t>
  </si>
  <si>
    <t>3 Lent</t>
  </si>
  <si>
    <t>3 Lent c</t>
  </si>
  <si>
    <t>John 5:25-29</t>
  </si>
  <si>
    <t>Sunday 61</t>
  </si>
  <si>
    <t>Monday61</t>
  </si>
  <si>
    <t>Tuesday61</t>
  </si>
  <si>
    <t>Wednesday61</t>
  </si>
  <si>
    <t>Thursday61</t>
  </si>
  <si>
    <t>friday61</t>
  </si>
  <si>
    <t>saturday61</t>
  </si>
  <si>
    <t>4 Lent a</t>
  </si>
  <si>
    <t>Jeremiah 14:1-9 (10-16) 17-22,</t>
  </si>
  <si>
    <t>Jeremiah 16:(1-9) 10-21,</t>
  </si>
  <si>
    <t>Jeremiah 17:19-27,</t>
  </si>
  <si>
    <t>Jeremiah 18:1-11,</t>
  </si>
  <si>
    <t>Jeremiah 22:13-23,</t>
  </si>
  <si>
    <t>Jeremiah 23:9-15,</t>
  </si>
  <si>
    <t>Genesis 48:8-22,</t>
  </si>
  <si>
    <t>Genesis 49:1-28,</t>
  </si>
  <si>
    <t>Genesis 49:29-50:14,</t>
  </si>
  <si>
    <t>Genesis 50:15-26,</t>
  </si>
  <si>
    <t>Exodus 1:6-22,</t>
  </si>
  <si>
    <t>Exodus 2:1-22,</t>
  </si>
  <si>
    <t>Exodus 2:23-3:15,</t>
  </si>
  <si>
    <t>Sunday 62</t>
  </si>
  <si>
    <t>Monday62</t>
  </si>
  <si>
    <t>Tuesday62</t>
  </si>
  <si>
    <t>Wednesday62</t>
  </si>
  <si>
    <t>Thursday62</t>
  </si>
  <si>
    <t>friday62</t>
  </si>
  <si>
    <t>saturday62</t>
  </si>
  <si>
    <t>4 Lent b</t>
  </si>
  <si>
    <t>Galatians 4:21-5:1,</t>
  </si>
  <si>
    <t>Romans 7:1-12,</t>
  </si>
  <si>
    <t>Romans 7:13-25,</t>
  </si>
  <si>
    <t>Romans 8:1-11,</t>
  </si>
  <si>
    <t>Romans 8:12-27,</t>
  </si>
  <si>
    <t>Romans 8:28-39,</t>
  </si>
  <si>
    <t>Romans 9:1-18,</t>
  </si>
  <si>
    <t>Romans 8:11-25,</t>
  </si>
  <si>
    <t>1 Corinthians 10:14-11:1,</t>
  </si>
  <si>
    <t>1 Corinthians 11:2-34,</t>
  </si>
  <si>
    <t>1 Corinthians 12:1-11,</t>
  </si>
  <si>
    <t>1 Corinthians 12:12-26,</t>
  </si>
  <si>
    <t>1 Corinthians 12:27-13:3,</t>
  </si>
  <si>
    <t>1 Corinthians 13:1-13,</t>
  </si>
  <si>
    <t>Sunday 63</t>
  </si>
  <si>
    <t>Monday63</t>
  </si>
  <si>
    <t>Tuesday63</t>
  </si>
  <si>
    <t>Wednesday63</t>
  </si>
  <si>
    <t>Thursday63</t>
  </si>
  <si>
    <t>friday63</t>
  </si>
  <si>
    <t>saturday63</t>
  </si>
  <si>
    <t>4 Lent</t>
  </si>
  <si>
    <t>4 Lent c</t>
  </si>
  <si>
    <t>Mark 8:11-21</t>
  </si>
  <si>
    <t>Sunday 64</t>
  </si>
  <si>
    <t>Monday64</t>
  </si>
  <si>
    <t>Tuesday64</t>
  </si>
  <si>
    <t>Wednesday64</t>
  </si>
  <si>
    <t>Thursday64</t>
  </si>
  <si>
    <t>friday64</t>
  </si>
  <si>
    <t>saturday64</t>
  </si>
  <si>
    <t>Easter date corrected</t>
  </si>
  <si>
    <t>5 Lent a</t>
  </si>
  <si>
    <t>Jeremiah 23:16-32,</t>
  </si>
  <si>
    <t>Jeremiah 24:1-10,</t>
  </si>
  <si>
    <t>Jeremiah 25:8-17,</t>
  </si>
  <si>
    <t>Jeremiah 25:30-38,</t>
  </si>
  <si>
    <t>Jeremiah 26:1-16 (17-24),</t>
  </si>
  <si>
    <t>Jeremiah 29:1 (2-3) 4-14,</t>
  </si>
  <si>
    <t>Jeremiah 31:27-34,</t>
  </si>
  <si>
    <t>Exodus 3:16-4:12,</t>
  </si>
  <si>
    <t>Exodus 4:10-20 (21-26) 27-31,</t>
  </si>
  <si>
    <t>Exodus 5:1-6:1,</t>
  </si>
  <si>
    <t>Exodus 7:8-24,</t>
  </si>
  <si>
    <t>Exodus 7:25-8:19,</t>
  </si>
  <si>
    <t>Exodus 9:13-35,</t>
  </si>
  <si>
    <t>Exodus 10:21-11:8,</t>
  </si>
  <si>
    <t>Sunday 65</t>
  </si>
  <si>
    <t>Monday65</t>
  </si>
  <si>
    <t>Tuesday65</t>
  </si>
  <si>
    <t>Wednesday65</t>
  </si>
  <si>
    <t>Thursday65</t>
  </si>
  <si>
    <t>friday65</t>
  </si>
  <si>
    <t>saturday65</t>
  </si>
  <si>
    <t>5 Lent b</t>
  </si>
  <si>
    <t>1 Corinthians 9:19-27,</t>
  </si>
  <si>
    <t>Romans 9:19-33,</t>
  </si>
  <si>
    <t>Romans 10:1-13,</t>
  </si>
  <si>
    <t>Romans 10:14-21,</t>
  </si>
  <si>
    <t>Romans 11:1-12,</t>
  </si>
  <si>
    <t>Romans 11:13-24,</t>
  </si>
  <si>
    <t>Romans 11:25-36,</t>
  </si>
  <si>
    <t>Romans 12:1-21,</t>
  </si>
  <si>
    <t>1 Corinthians 14:1-19,</t>
  </si>
  <si>
    <t>1 Corinthians 14:20-33a, 39-40,</t>
  </si>
  <si>
    <t>2 Corinthians 2:14-3:6,</t>
  </si>
  <si>
    <t>2 Corinthians 4:13-18,</t>
  </si>
  <si>
    <t>Sunday 66</t>
  </si>
  <si>
    <t>Monday66</t>
  </si>
  <si>
    <t>Tuesday66</t>
  </si>
  <si>
    <t>Wednesday66</t>
  </si>
  <si>
    <t>Thursday66</t>
  </si>
  <si>
    <t>friday66</t>
  </si>
  <si>
    <t>saturday66</t>
  </si>
  <si>
    <t>5 Lent</t>
  </si>
  <si>
    <t>leapyear</t>
  </si>
  <si>
    <t>5 Lent c</t>
  </si>
  <si>
    <t>Mark 8:31-9:1</t>
  </si>
  <si>
    <t>John 10:19-42</t>
  </si>
  <si>
    <t>John 11:1-27 or 12:1-10</t>
  </si>
  <si>
    <t>John 11:28-44 or 12:37-50</t>
  </si>
  <si>
    <t>John 8:46-59</t>
  </si>
  <si>
    <t>Sunday 67</t>
  </si>
  <si>
    <t>Monday67</t>
  </si>
  <si>
    <t>Tuesday67</t>
  </si>
  <si>
    <t>Wednesday67</t>
  </si>
  <si>
    <t>Thursday67</t>
  </si>
  <si>
    <t>friday67</t>
  </si>
  <si>
    <t>saturday67</t>
  </si>
  <si>
    <t>Palm/Passion</t>
  </si>
  <si>
    <t>Maundy Thursday</t>
  </si>
  <si>
    <t>Good Friday</t>
  </si>
  <si>
    <t>Sunday 68</t>
  </si>
  <si>
    <t>Monday68</t>
  </si>
  <si>
    <t>Tuesday68</t>
  </si>
  <si>
    <t>Wednesday68</t>
  </si>
  <si>
    <t>Thursday68</t>
  </si>
  <si>
    <t>friday68</t>
  </si>
  <si>
    <t>saturday68</t>
  </si>
  <si>
    <t>Ash Wed march Date</t>
  </si>
  <si>
    <t>Holy Week a</t>
  </si>
  <si>
    <t xml:space="preserve">Zechariah 9:9-12, </t>
  </si>
  <si>
    <t>Jeremiah 11:18-20; 12:1-16 (17),</t>
  </si>
  <si>
    <t xml:space="preserve">Jeremiah 15:10-21, </t>
  </si>
  <si>
    <t>Jeremiah 17:5-10, 14-17 (18),</t>
  </si>
  <si>
    <t>Jeremiah 20:7-11 (12-13) 14-18,</t>
  </si>
  <si>
    <t>Genesis 22:1-14,</t>
  </si>
  <si>
    <t>Job 19:21-27a,</t>
  </si>
  <si>
    <t>Zechariah 12:9-11;13:1, 7-9,</t>
  </si>
  <si>
    <t>Lamentation 1:1-2, 6-12,</t>
  </si>
  <si>
    <t>Lamentations 1:17-22,</t>
  </si>
  <si>
    <t>Lamentations 2:1-9,</t>
  </si>
  <si>
    <t>Lamentations 2:10-18,</t>
  </si>
  <si>
    <t>Lamentations 3:1-9, 19-33,</t>
  </si>
  <si>
    <t>Lamentations 3:37-58,</t>
  </si>
  <si>
    <t>Sunday 69</t>
  </si>
  <si>
    <t>Monday69</t>
  </si>
  <si>
    <t>Tuesday69</t>
  </si>
  <si>
    <t>Wednesday69</t>
  </si>
  <si>
    <t>Thursday69</t>
  </si>
  <si>
    <t>friday69</t>
  </si>
  <si>
    <t>saturday69</t>
  </si>
  <si>
    <t>Holy Week</t>
  </si>
  <si>
    <t>Holy Week b</t>
  </si>
  <si>
    <t>1 Timothy 6:12-16,</t>
  </si>
  <si>
    <t>Philippians 3:1-14,</t>
  </si>
  <si>
    <t>Philippians 3:15-21,</t>
  </si>
  <si>
    <t>Philippians 4:1-13,</t>
  </si>
  <si>
    <t>1 Corinthians 10:14-17; 1:27-32,</t>
  </si>
  <si>
    <t>1 Peter 1:10-20,</t>
  </si>
  <si>
    <t>Hebrews 4:1-16,</t>
  </si>
  <si>
    <t>2 Corinthians 1:1-7,</t>
  </si>
  <si>
    <t>2 Corinthians 1:8-22,</t>
  </si>
  <si>
    <t>2 Corinthians 1:23-2:11,</t>
  </si>
  <si>
    <t>1 Corinthians 10:14-17;11:27-32,</t>
  </si>
  <si>
    <t>Sunday 70</t>
  </si>
  <si>
    <t>Monday70</t>
  </si>
  <si>
    <t>Tuesday70</t>
  </si>
  <si>
    <t>Wednesday70</t>
  </si>
  <si>
    <t>Thursday70</t>
  </si>
  <si>
    <t>friday70</t>
  </si>
  <si>
    <t>saturday70</t>
  </si>
  <si>
    <t>(Palm/Passion)</t>
  </si>
  <si>
    <t>Sundays after epiphany Table</t>
  </si>
  <si>
    <t>Holy Week c</t>
  </si>
  <si>
    <t>Matthew 21:12-17</t>
  </si>
  <si>
    <t>John 12:27-36</t>
  </si>
  <si>
    <t>John 17:1-11 (12-26)</t>
  </si>
  <si>
    <t>John 13:36-38 or 19:38-42</t>
  </si>
  <si>
    <t>Romans 8:1-11</t>
  </si>
  <si>
    <t>Luke 19:41-48</t>
  </si>
  <si>
    <t>Mark 11:12-25</t>
  </si>
  <si>
    <t>Mark 11:27-33</t>
  </si>
  <si>
    <t>Mark 12:1-11</t>
  </si>
  <si>
    <t>Mark 14:12-25</t>
  </si>
  <si>
    <t>Sunday 71</t>
  </si>
  <si>
    <t>Monday71</t>
  </si>
  <si>
    <t>Tuesday71</t>
  </si>
  <si>
    <t>Wednesday71</t>
  </si>
  <si>
    <t>Thursday71</t>
  </si>
  <si>
    <t>friday71</t>
  </si>
  <si>
    <t>saturday71</t>
  </si>
  <si>
    <t>Easter a</t>
  </si>
  <si>
    <t>Exodus 12:1-14,</t>
  </si>
  <si>
    <t>Jonah 2:1-10,</t>
  </si>
  <si>
    <t>Isaiah 30:18-26,</t>
  </si>
  <si>
    <t>Micah 7:7-15,</t>
  </si>
  <si>
    <t>Ezekiel 37:1-14,</t>
  </si>
  <si>
    <t>Daniel 12:1-4, 13,</t>
  </si>
  <si>
    <t>Exodus 12:14-27,</t>
  </si>
  <si>
    <t>Exodus 12:28-39,</t>
  </si>
  <si>
    <t>Exodus 12:40-51,</t>
  </si>
  <si>
    <t>Exodus 13:3-10,</t>
  </si>
  <si>
    <t>Exodus 13:1-2, 11-16,</t>
  </si>
  <si>
    <t>Exodus 13:17-14:4,</t>
  </si>
  <si>
    <t>Sunday 72</t>
  </si>
  <si>
    <t>Monday72</t>
  </si>
  <si>
    <t>Tuesday72</t>
  </si>
  <si>
    <t>Wednesday72</t>
  </si>
  <si>
    <t>Thursday72</t>
  </si>
  <si>
    <t>friday72</t>
  </si>
  <si>
    <t>saturday72</t>
  </si>
  <si>
    <t>Easter b</t>
  </si>
  <si>
    <t>Isaiah 51:9-11,</t>
  </si>
  <si>
    <t>Acts 2:14, 22-32,</t>
  </si>
  <si>
    <t>Acts 2:36-41 (42-47),</t>
  </si>
  <si>
    <t>Acts 3:1-10,</t>
  </si>
  <si>
    <t>Acts 3:11-26,</t>
  </si>
  <si>
    <t>Acts 4:1-12,</t>
  </si>
  <si>
    <t>Acts 4:13-21 (22-31),</t>
  </si>
  <si>
    <t>John 1:1-18,</t>
  </si>
  <si>
    <t>1 Corinthians 15:1-11,</t>
  </si>
  <si>
    <t>1 Corinthians 15:12-28,</t>
  </si>
  <si>
    <t>1 Corinthians 15:(29) 30-41,</t>
  </si>
  <si>
    <t>1 Corinthians 15:41-50,</t>
  </si>
  <si>
    <t>1 Corinthians 15:51-58,</t>
  </si>
  <si>
    <t>2 Corinthians 4:16-5:10,</t>
  </si>
  <si>
    <t>Sunday 73</t>
  </si>
  <si>
    <t>Monday73</t>
  </si>
  <si>
    <t>Tuesday73</t>
  </si>
  <si>
    <t>Wednesday73</t>
  </si>
  <si>
    <t>Thursday73</t>
  </si>
  <si>
    <t>friday73</t>
  </si>
  <si>
    <t>saturday73</t>
  </si>
  <si>
    <t>Easter</t>
  </si>
  <si>
    <t>Easter c</t>
  </si>
  <si>
    <t>Luke 2413-35 or John 20:19-23</t>
  </si>
  <si>
    <t>John 14:1-14</t>
  </si>
  <si>
    <t>John 14:15-31</t>
  </si>
  <si>
    <t>John 15:1-11</t>
  </si>
  <si>
    <t>John 15:12-27</t>
  </si>
  <si>
    <t>John 16:1-15</t>
  </si>
  <si>
    <t>John 16:16-33</t>
  </si>
  <si>
    <t>Luke 24:13-35</t>
  </si>
  <si>
    <t>Mark 16:1-8</t>
  </si>
  <si>
    <t>Mark 16:9-20</t>
  </si>
  <si>
    <t>Matthew 28:1-16</t>
  </si>
  <si>
    <t>Matthew 28:16-20</t>
  </si>
  <si>
    <t>Luke 24:1-12</t>
  </si>
  <si>
    <t>Mark 12:18-27</t>
  </si>
  <si>
    <t>Sunday 74</t>
  </si>
  <si>
    <t>Monday74</t>
  </si>
  <si>
    <t>Tuesday74</t>
  </si>
  <si>
    <t>Wednesday74</t>
  </si>
  <si>
    <t>Thursday74</t>
  </si>
  <si>
    <t>friday74</t>
  </si>
  <si>
    <t>saturday74</t>
  </si>
  <si>
    <t>Septuaguissema Table</t>
  </si>
  <si>
    <t>2 Easter a</t>
  </si>
  <si>
    <t>Isaiah 43:8-13,</t>
  </si>
  <si>
    <t>Daniel 1:1-21,</t>
  </si>
  <si>
    <t>Daniel 2:1-16,</t>
  </si>
  <si>
    <t>Daniel 2:17-30,</t>
  </si>
  <si>
    <t>Daniel 2:31-49,</t>
  </si>
  <si>
    <t>Daniel 3:1-18,</t>
  </si>
  <si>
    <t>Daniel 3:19-30,</t>
  </si>
  <si>
    <t>Exodus 14:5-22,</t>
  </si>
  <si>
    <t>Exodus 14:21-31,</t>
  </si>
  <si>
    <t>Exodus 15:1-21,</t>
  </si>
  <si>
    <t>Exodus 15:22-16:10,</t>
  </si>
  <si>
    <t>Exodus 16:10-22,</t>
  </si>
  <si>
    <t>Exodus 16:23-36,</t>
  </si>
  <si>
    <t>Exodus 17:1-16,</t>
  </si>
  <si>
    <t>Sunday 75</t>
  </si>
  <si>
    <t>Monday75</t>
  </si>
  <si>
    <t>Tuesday75</t>
  </si>
  <si>
    <t>Wednesday75</t>
  </si>
  <si>
    <t>Thursday75</t>
  </si>
  <si>
    <t>friday75</t>
  </si>
  <si>
    <t>saturday75</t>
  </si>
  <si>
    <t>2 Easter b</t>
  </si>
  <si>
    <t>1 Peter 2:2-10,</t>
  </si>
  <si>
    <t>1 John 1:1-7,</t>
  </si>
  <si>
    <t>1 Peter 1:1-12,</t>
  </si>
  <si>
    <t>1 Peter 1:13-25,</t>
  </si>
  <si>
    <t>1 Peter 2:1-10,</t>
  </si>
  <si>
    <t>1 Peter 2:11-3:12,</t>
  </si>
  <si>
    <t>1 Peter 3:13-4:6,</t>
  </si>
  <si>
    <t>1 Peter 4:7-19,</t>
  </si>
  <si>
    <t>Sunday 76</t>
  </si>
  <si>
    <t>Monday76</t>
  </si>
  <si>
    <t>Tuesday76</t>
  </si>
  <si>
    <t>Wednesday76</t>
  </si>
  <si>
    <t>Thursday76</t>
  </si>
  <si>
    <t>friday76</t>
  </si>
  <si>
    <t>saturday76</t>
  </si>
  <si>
    <t>Easter 2</t>
  </si>
  <si>
    <t>Septuaguissema Corrected</t>
  </si>
  <si>
    <t>2 Easter c</t>
  </si>
  <si>
    <t>John 14:1-7</t>
  </si>
  <si>
    <t>John 17:1-11</t>
  </si>
  <si>
    <t>John 17:12-19</t>
  </si>
  <si>
    <t>Luke 3:1-14</t>
  </si>
  <si>
    <t>Luke 3:15-22</t>
  </si>
  <si>
    <t>Luke 4:1-13</t>
  </si>
  <si>
    <t>John 14:(1-7) 8-17</t>
  </si>
  <si>
    <t>John 14:18-31</t>
  </si>
  <si>
    <t>Joh 15:12-27</t>
  </si>
  <si>
    <t>Sunday 77</t>
  </si>
  <si>
    <t>Monday77</t>
  </si>
  <si>
    <t>Tuesday77</t>
  </si>
  <si>
    <t>Wednesday77</t>
  </si>
  <si>
    <t>Thursday77</t>
  </si>
  <si>
    <t>friday77</t>
  </si>
  <si>
    <t>saturday77</t>
  </si>
  <si>
    <t>3 Easter a</t>
  </si>
  <si>
    <t>Daniel 4:1-18,</t>
  </si>
  <si>
    <t>Daniel 4:19-27,</t>
  </si>
  <si>
    <t>Daniel 4:28-37,</t>
  </si>
  <si>
    <t>Daniel 5:1-12,</t>
  </si>
  <si>
    <t>Daniel 5:13-30,</t>
  </si>
  <si>
    <t>Daniel 6:1-15,</t>
  </si>
  <si>
    <t>Daniel 6:16-28,</t>
  </si>
  <si>
    <t>Exodus 18:1-12,</t>
  </si>
  <si>
    <t>Exodus 18:13-27,</t>
  </si>
  <si>
    <t>Exodus 19:1-16,</t>
  </si>
  <si>
    <t>Exodus 19:16-25,</t>
  </si>
  <si>
    <t>Exodus 20:1-21,</t>
  </si>
  <si>
    <t>Exodus 24:1-18,</t>
  </si>
  <si>
    <t>Exodus 25:1-22,</t>
  </si>
  <si>
    <t>Sunday 78</t>
  </si>
  <si>
    <t>Monday78</t>
  </si>
  <si>
    <t>Tuesday78</t>
  </si>
  <si>
    <t>Wednesday78</t>
  </si>
  <si>
    <t>Thursday78</t>
  </si>
  <si>
    <t>friday78</t>
  </si>
  <si>
    <t>saturday78</t>
  </si>
  <si>
    <t>Ash Wed Table</t>
  </si>
  <si>
    <t>3 Easter b</t>
  </si>
  <si>
    <t>1 Peter 4:7-11,</t>
  </si>
  <si>
    <t>1 John 3:19-4:6,</t>
  </si>
  <si>
    <t>1 John 5:13-20 (21),</t>
  </si>
  <si>
    <t>1 John 2:7-17,</t>
  </si>
  <si>
    <t>1 Peter 5:1-14,</t>
  </si>
  <si>
    <t>Colosssians 1:15-23,</t>
  </si>
  <si>
    <t>Sunday 79</t>
  </si>
  <si>
    <t>Monday79</t>
  </si>
  <si>
    <t>Tuesday79</t>
  </si>
  <si>
    <t>Wednesday79</t>
  </si>
  <si>
    <t>Thursday79</t>
  </si>
  <si>
    <t>friday79</t>
  </si>
  <si>
    <t>saturday79</t>
  </si>
  <si>
    <t>Easter 3</t>
  </si>
  <si>
    <t>3 Easter c</t>
  </si>
  <si>
    <t>John 21:15-25</t>
  </si>
  <si>
    <t>Luke 4:14-30</t>
  </si>
  <si>
    <t>Luke 4:31-37</t>
  </si>
  <si>
    <t>Luke 4:38-44</t>
  </si>
  <si>
    <t>Luke 5:1-11</t>
  </si>
  <si>
    <t>Luke 5:12-26</t>
  </si>
  <si>
    <t>Luke 5:27-39</t>
  </si>
  <si>
    <t>Matthew (1:1-17) 3:1-6</t>
  </si>
  <si>
    <t>Matthew 3:7-12</t>
  </si>
  <si>
    <t>Matthew 3:13-17</t>
  </si>
  <si>
    <t>Matthew 4:1-11</t>
  </si>
  <si>
    <t>Matthew 4:12-17</t>
  </si>
  <si>
    <t>Matthew 4:18-25</t>
  </si>
  <si>
    <t>Sunday 80</t>
  </si>
  <si>
    <t>Monday80</t>
  </si>
  <si>
    <t>Tuesday80</t>
  </si>
  <si>
    <t>Wednesday80</t>
  </si>
  <si>
    <t>Thursday80</t>
  </si>
  <si>
    <t>friday80</t>
  </si>
  <si>
    <t>saturday80</t>
  </si>
  <si>
    <t>Ash Wed Corrected</t>
  </si>
  <si>
    <t>4 Easter a</t>
  </si>
  <si>
    <t>Genesis 18:22-33,</t>
  </si>
  <si>
    <t>Jeremiah 30:1-9,</t>
  </si>
  <si>
    <t>Jeremiah 30:10-17,</t>
  </si>
  <si>
    <t>Jeremiah 30:18-22,</t>
  </si>
  <si>
    <t>Jeremiah 31:1-14,</t>
  </si>
  <si>
    <t>Jeremiah 31:15-22,</t>
  </si>
  <si>
    <t>Jeremiah 31:12-17,</t>
  </si>
  <si>
    <t>Exodus 28:1-4, 30-38,</t>
  </si>
  <si>
    <t>Exodus 32:1-20,</t>
  </si>
  <si>
    <t>Exodus 32:21-34,</t>
  </si>
  <si>
    <t>Exodus 33:1-23,</t>
  </si>
  <si>
    <t>Exodus 34:1-17,</t>
  </si>
  <si>
    <t>Exodus 34:18-35,</t>
  </si>
  <si>
    <t>Exodus 40:18-38,</t>
  </si>
  <si>
    <t>Sunday 81</t>
  </si>
  <si>
    <t>Monday81</t>
  </si>
  <si>
    <t>Tuesday81</t>
  </si>
  <si>
    <t>Wednesday81</t>
  </si>
  <si>
    <t>Thursday81</t>
  </si>
  <si>
    <t>friday81</t>
  </si>
  <si>
    <t>saturday81</t>
  </si>
  <si>
    <t>4 Easter b</t>
  </si>
  <si>
    <t>1 Peter 5:1-11,</t>
  </si>
  <si>
    <t>Colossians 3:1-11,</t>
  </si>
  <si>
    <t>Colossians 3:18-4:6 (7-18),</t>
  </si>
  <si>
    <t>Sunday 82</t>
  </si>
  <si>
    <t>Monday82</t>
  </si>
  <si>
    <t>Tuesday82</t>
  </si>
  <si>
    <t>Wednesday82</t>
  </si>
  <si>
    <t>Thursday82</t>
  </si>
  <si>
    <t>friday82</t>
  </si>
  <si>
    <t>saturday82</t>
  </si>
  <si>
    <t>Easter 4</t>
  </si>
  <si>
    <t>4 Easter c</t>
  </si>
  <si>
    <t>Matthew 7:15-29</t>
  </si>
  <si>
    <t>Luke 6:1-11</t>
  </si>
  <si>
    <t>Luke 6:12--26</t>
  </si>
  <si>
    <t>Luke 6:27-38</t>
  </si>
  <si>
    <t>Luke 6:39-49</t>
  </si>
  <si>
    <t>Luke 7:1-17</t>
  </si>
  <si>
    <t>Luke 7:18 (29-30) 31-35</t>
  </si>
  <si>
    <t>Mark 6:30-44</t>
  </si>
  <si>
    <t>Matthew 5:1-10</t>
  </si>
  <si>
    <t>Matthew 5:11-16</t>
  </si>
  <si>
    <t>Matthew 5:17-20</t>
  </si>
  <si>
    <t>Sunday 83</t>
  </si>
  <si>
    <t>Monday83</t>
  </si>
  <si>
    <t>Tuesday83</t>
  </si>
  <si>
    <t>Wednesday83</t>
  </si>
  <si>
    <t>Thursday83</t>
  </si>
  <si>
    <t>friday83</t>
  </si>
  <si>
    <t>saturday83</t>
  </si>
  <si>
    <t>5 Easter a</t>
  </si>
  <si>
    <t>Isaiah 32:1-8,</t>
  </si>
  <si>
    <t>Jeremiah 32:1-15,</t>
  </si>
  <si>
    <t>Jeremiah32:16-25,</t>
  </si>
  <si>
    <t>Jeremiah 32:36-44,</t>
  </si>
  <si>
    <t>Jeremiah 33:1-13,</t>
  </si>
  <si>
    <t>Deuteronomy 31:30-32:14,</t>
  </si>
  <si>
    <t>Deuteronomy 32:34-41 (42) 43,</t>
  </si>
  <si>
    <t>Leviticus 8:1-13, 30-36,</t>
  </si>
  <si>
    <t>Leviticus 16:1-19,</t>
  </si>
  <si>
    <t>Leviticus 16:20-34,</t>
  </si>
  <si>
    <t>Leviticus 19:1-18,</t>
  </si>
  <si>
    <t>Leviticus 19:26-37,</t>
  </si>
  <si>
    <t>Leviticus 23:1-22,</t>
  </si>
  <si>
    <t>Leviticus 23:23-44,</t>
  </si>
  <si>
    <t>Sunday 84</t>
  </si>
  <si>
    <t>Monday84</t>
  </si>
  <si>
    <t>Tuesday84</t>
  </si>
  <si>
    <t>Wednesday84</t>
  </si>
  <si>
    <t>Thursday84</t>
  </si>
  <si>
    <t>friday84</t>
  </si>
  <si>
    <t>saturday84</t>
  </si>
  <si>
    <t>5 Easter b</t>
  </si>
  <si>
    <t>2 Thessalonians 2:13-17,</t>
  </si>
  <si>
    <t>Colossians 3:18-4:18,</t>
  </si>
  <si>
    <t>Romans 14:1-12,</t>
  </si>
  <si>
    <t>Romans 14:13-23,</t>
  </si>
  <si>
    <t>Romans 15:1-13,</t>
  </si>
  <si>
    <t>1 Thessalonians 4:13-18,</t>
  </si>
  <si>
    <t>1Thessalonians 5:1-11,</t>
  </si>
  <si>
    <t>2 Thessalonians 2:1-17,</t>
  </si>
  <si>
    <t>2 Thessalonians 3:1-18,</t>
  </si>
  <si>
    <t>Sunday 85</t>
  </si>
  <si>
    <t>Monday85</t>
  </si>
  <si>
    <t>Tuesday85</t>
  </si>
  <si>
    <t>Wednesday85</t>
  </si>
  <si>
    <t>Thursday85</t>
  </si>
  <si>
    <t>friday85</t>
  </si>
  <si>
    <t>saturday85</t>
  </si>
  <si>
    <t xml:space="preserve">Easter 5 </t>
  </si>
  <si>
    <t>5 Easter c</t>
  </si>
  <si>
    <t>Matthew 7:7-14</t>
  </si>
  <si>
    <t>Luke 7:36-50</t>
  </si>
  <si>
    <t>Luke 8:1-15</t>
  </si>
  <si>
    <t>Luke 8:16-25</t>
  </si>
  <si>
    <t>Luke 8:26-39</t>
  </si>
  <si>
    <t>Luke 8:40-56</t>
  </si>
  <si>
    <t>Luke 9:1-17</t>
  </si>
  <si>
    <t>Luke 4:16-30</t>
  </si>
  <si>
    <t>Matthew 6:1-6, 16-18</t>
  </si>
  <si>
    <t>Matthew 6:19-24</t>
  </si>
  <si>
    <t>Matthew 6:25-34</t>
  </si>
  <si>
    <t>Sunday 86</t>
  </si>
  <si>
    <t>Monday86</t>
  </si>
  <si>
    <t>Tuesday86</t>
  </si>
  <si>
    <t>Wednesday86</t>
  </si>
  <si>
    <t>Thursday86</t>
  </si>
  <si>
    <t>friday86</t>
  </si>
  <si>
    <t>saturday86</t>
  </si>
  <si>
    <t>6 Easter a</t>
  </si>
  <si>
    <t>Deuteronomy 15:1-11,</t>
  </si>
  <si>
    <t>Deuteronomy 8:1-10 or 18:9-14,</t>
  </si>
  <si>
    <t>Deuteronomy 8:11-20 or 18:15-22,</t>
  </si>
  <si>
    <t>Deuteronomy 19:1-7,</t>
  </si>
  <si>
    <t>Ezekiel 1:1-14, 24-28b,</t>
  </si>
  <si>
    <t>Ezekiel 1:28-3:3,</t>
  </si>
  <si>
    <t>Ezekiel 3:4-17,</t>
  </si>
  <si>
    <t>Leviticus 25:1-17,</t>
  </si>
  <si>
    <t>Leviticus 25:35-55,</t>
  </si>
  <si>
    <t>Leviticus 26:1-20,</t>
  </si>
  <si>
    <t>Leviticus 26:27-42,</t>
  </si>
  <si>
    <t>Daniel 7:9-14,</t>
  </si>
  <si>
    <t>1 Samuel 2:1-10,</t>
  </si>
  <si>
    <t>Numbers 11:16-17, 24-29,</t>
  </si>
  <si>
    <t>Sunday 87</t>
  </si>
  <si>
    <t>Monday87</t>
  </si>
  <si>
    <t>Tuesday87</t>
  </si>
  <si>
    <t>Wednesday87</t>
  </si>
  <si>
    <t>Thursday87</t>
  </si>
  <si>
    <t>friday87</t>
  </si>
  <si>
    <t>saturday87</t>
  </si>
  <si>
    <t>6 Easter b</t>
  </si>
  <si>
    <t>1 Timothy 3:14-4:5,</t>
  </si>
  <si>
    <t>James 1:1-15,</t>
  </si>
  <si>
    <t>James 1:16-27,</t>
  </si>
  <si>
    <t>James 5:13-18,</t>
  </si>
  <si>
    <t>Hebrews 2:5-18,</t>
  </si>
  <si>
    <t>Hebrews 4:14-5:6</t>
  </si>
  <si>
    <t>James 1:2-8, 16-18,</t>
  </si>
  <si>
    <t>Colossians 1:9-14,</t>
  </si>
  <si>
    <t>1 Timothy 2:1-6,</t>
  </si>
  <si>
    <t>Ephesians 1:1-10,</t>
  </si>
  <si>
    <t>Sunday 88</t>
  </si>
  <si>
    <t>Monday88</t>
  </si>
  <si>
    <t>Tuesday88</t>
  </si>
  <si>
    <t>Wednesday88</t>
  </si>
  <si>
    <t>Thursday88</t>
  </si>
  <si>
    <t>friday88</t>
  </si>
  <si>
    <t>saturday88</t>
  </si>
  <si>
    <t>Easter 6</t>
  </si>
  <si>
    <t>6 Easter c</t>
  </si>
  <si>
    <t>Matthew 13:24-34a</t>
  </si>
  <si>
    <t>Luke 11:1-13</t>
  </si>
  <si>
    <t>Luke 12:22-31</t>
  </si>
  <si>
    <t>Luke 9:28-36</t>
  </si>
  <si>
    <t>Luke 9:37-50</t>
  </si>
  <si>
    <t>Luke 12:13-21</t>
  </si>
  <si>
    <t>Matthew 13:1-16</t>
  </si>
  <si>
    <t>Matthew 13:18-23</t>
  </si>
  <si>
    <t>Matthew 22:41-46</t>
  </si>
  <si>
    <t>Matthew 7:22-27</t>
  </si>
  <si>
    <t>Matthew 7:28-8:4</t>
  </si>
  <si>
    <t>Sunday 89</t>
  </si>
  <si>
    <t>Monday89</t>
  </si>
  <si>
    <t>Tuesday89</t>
  </si>
  <si>
    <t>Wednesday89</t>
  </si>
  <si>
    <t>Thursday89</t>
  </si>
  <si>
    <t>friday89</t>
  </si>
  <si>
    <t>saturday89</t>
  </si>
  <si>
    <t>7 Easter a</t>
  </si>
  <si>
    <t>Ezekiel 3:16-27,</t>
  </si>
  <si>
    <t>Ezekiel 4:1-17,</t>
  </si>
  <si>
    <t>Ezekiel 7:10-15, 23b-27,</t>
  </si>
  <si>
    <t>Ezekiel 11:14-25,</t>
  </si>
  <si>
    <t>Ezekiel 18:1-4, 19-32,</t>
  </si>
  <si>
    <t>Ezekiel 34:17-31,</t>
  </si>
  <si>
    <t xml:space="preserve">Ezekiel 43:1-12, </t>
  </si>
  <si>
    <t>Exodus 3:1-12,</t>
  </si>
  <si>
    <t>1 Samuel 16:1-13a,</t>
  </si>
  <si>
    <t>Ezekiel 36:22-27,</t>
  </si>
  <si>
    <t>Sunday 90</t>
  </si>
  <si>
    <t>Monday90</t>
  </si>
  <si>
    <t>Tuesday90</t>
  </si>
  <si>
    <t>Wednesday90</t>
  </si>
  <si>
    <t>Thursday90</t>
  </si>
  <si>
    <t>friday90</t>
  </si>
  <si>
    <t>saturday90</t>
  </si>
  <si>
    <t>7 Easter b</t>
  </si>
  <si>
    <t>Ephesians 5:1-32,</t>
  </si>
  <si>
    <t>Ephesians 6:1-24,</t>
  </si>
  <si>
    <t>Sunday 91</t>
  </si>
  <si>
    <t>Monday91</t>
  </si>
  <si>
    <t>Tuesday91</t>
  </si>
  <si>
    <t>Wednesday91</t>
  </si>
  <si>
    <t>Thursday91</t>
  </si>
  <si>
    <t>friday91</t>
  </si>
  <si>
    <t>saturday91</t>
  </si>
  <si>
    <t>7 Easter c</t>
  </si>
  <si>
    <t>Matthew 10:24-33, 40-42</t>
  </si>
  <si>
    <t>Luke 9:51-62</t>
  </si>
  <si>
    <t>Luke 10:1-17</t>
  </si>
  <si>
    <t>Luke 10:17-24</t>
  </si>
  <si>
    <t>Luke 10:25-37</t>
  </si>
  <si>
    <t>Luke 10:38-42</t>
  </si>
  <si>
    <t>Luke 11:14-23</t>
  </si>
  <si>
    <t>Matthew 8:5-17</t>
  </si>
  <si>
    <t>Matthew 8:18-27</t>
  </si>
  <si>
    <t>Matthew 8:28-34</t>
  </si>
  <si>
    <t>Matthew 9:1-8</t>
  </si>
  <si>
    <t>Matthew 9:9-17</t>
  </si>
  <si>
    <t>Matthew 9:18-26</t>
  </si>
  <si>
    <t>Sunday 92</t>
  </si>
  <si>
    <t>Monday92</t>
  </si>
  <si>
    <t>Tuesday92</t>
  </si>
  <si>
    <t>Wednesday92</t>
  </si>
  <si>
    <t>Thursday92</t>
  </si>
  <si>
    <t>friday92</t>
  </si>
  <si>
    <t>saturday92</t>
  </si>
  <si>
    <t>Easter 7</t>
  </si>
  <si>
    <t>Pentecost a</t>
  </si>
  <si>
    <t>Isaiah 65:17-25,</t>
  </si>
  <si>
    <t>Deuteronomy 16:9-12,</t>
  </si>
  <si>
    <t>Ezekiel 33:1-11,</t>
  </si>
  <si>
    <t>Ezekiel 33:21-33,</t>
  </si>
  <si>
    <t>Ezekiel 34:1-16,</t>
  </si>
  <si>
    <t>Ezekiel 37:21b-28,</t>
  </si>
  <si>
    <t>Ezekiel 47:1-12,</t>
  </si>
  <si>
    <t>Sunday 93</t>
  </si>
  <si>
    <t>Monday93</t>
  </si>
  <si>
    <t>Tuesday93</t>
  </si>
  <si>
    <t>Wednesday93</t>
  </si>
  <si>
    <t>Thursday93</t>
  </si>
  <si>
    <t>friday93</t>
  </si>
  <si>
    <t>saturday93</t>
  </si>
  <si>
    <t>Pentecost b</t>
  </si>
  <si>
    <t>Acts 4:18-21, 23-33,</t>
  </si>
  <si>
    <t>1 John 3: 1-10,</t>
  </si>
  <si>
    <t>Sunday 94</t>
  </si>
  <si>
    <t>Monday94</t>
  </si>
  <si>
    <t>Tuesday94</t>
  </si>
  <si>
    <t>Wednesday94</t>
  </si>
  <si>
    <t>Thursday94</t>
  </si>
  <si>
    <t>friday94</t>
  </si>
  <si>
    <t>saturday94</t>
  </si>
  <si>
    <t>Pentecost c</t>
  </si>
  <si>
    <t>John 14:21-29</t>
  </si>
  <si>
    <t>Luke 11:24-36</t>
  </si>
  <si>
    <t>Luke 11:37-52</t>
  </si>
  <si>
    <t>Luke 11:53-12:12</t>
  </si>
  <si>
    <t>Luke 12:13-31</t>
  </si>
  <si>
    <t>Luke 12:32-48</t>
  </si>
  <si>
    <t>Luke 12:49-59</t>
  </si>
  <si>
    <t>John 4:19-26</t>
  </si>
  <si>
    <t>Matthew 9:27-34</t>
  </si>
  <si>
    <t>Matthew 9:35-10:4</t>
  </si>
  <si>
    <t>Matthew 10:5-15</t>
  </si>
  <si>
    <t>Matthew 10:16-23</t>
  </si>
  <si>
    <t>Mathew 10:24-33</t>
  </si>
  <si>
    <t>Matthew 10:34-42</t>
  </si>
  <si>
    <t>Sunday 95</t>
  </si>
  <si>
    <t>Monday95</t>
  </si>
  <si>
    <t>Tuesday95</t>
  </si>
  <si>
    <t>Wednesday95</t>
  </si>
  <si>
    <t>Thursday95</t>
  </si>
  <si>
    <t>friday95</t>
  </si>
  <si>
    <t>saturday95</t>
  </si>
  <si>
    <t>Trinity a</t>
  </si>
  <si>
    <t>Deuteronomy 6:1-9 (10-15),</t>
  </si>
  <si>
    <t>Ruth 1:1-18,</t>
  </si>
  <si>
    <t>Ruth 1:19-2:13,</t>
  </si>
  <si>
    <t>Ruth 4:1-22,</t>
  </si>
  <si>
    <t>Deuteronomy 1:1-8,</t>
  </si>
  <si>
    <t>Job 38:1-11, 42:1-5,</t>
  </si>
  <si>
    <t>Proverb 3:11-20,</t>
  </si>
  <si>
    <t>Sunday 96</t>
  </si>
  <si>
    <t>Monday96</t>
  </si>
  <si>
    <t>Tuesday96</t>
  </si>
  <si>
    <t>Wednesday96</t>
  </si>
  <si>
    <t>Thursday96</t>
  </si>
  <si>
    <t>friday96</t>
  </si>
  <si>
    <t>saturday96</t>
  </si>
  <si>
    <t>Trinity b</t>
  </si>
  <si>
    <t>1 Timothy 5:17-22 (23-25),</t>
  </si>
  <si>
    <t>1 Timothy 6:6-21,</t>
  </si>
  <si>
    <t>Revelation 19:4-16,</t>
  </si>
  <si>
    <t>Sunday 97</t>
  </si>
  <si>
    <t>Monday97</t>
  </si>
  <si>
    <t>Tuesday97</t>
  </si>
  <si>
    <t>Wednesday97</t>
  </si>
  <si>
    <t>Thursday97</t>
  </si>
  <si>
    <t>friday97</t>
  </si>
  <si>
    <t>saturday97</t>
  </si>
  <si>
    <t>Trinity c</t>
  </si>
  <si>
    <t>Luke 13:1-9</t>
  </si>
  <si>
    <t>Luke 13:10-17</t>
  </si>
  <si>
    <t>Luke 13:18-30</t>
  </si>
  <si>
    <t>Luke 13:31-35</t>
  </si>
  <si>
    <t>Luke 14:1-11</t>
  </si>
  <si>
    <t>Luke 14:12-24</t>
  </si>
  <si>
    <t>Matthew 11:1-6</t>
  </si>
  <si>
    <t>Matthew 11:7-15</t>
  </si>
  <si>
    <t>Matthew 11:16-24</t>
  </si>
  <si>
    <t>Matthew 11:25-30</t>
  </si>
  <si>
    <t>Matthew 12:1-14</t>
  </si>
  <si>
    <t>Matthew 12:15-21</t>
  </si>
  <si>
    <t>Sunday 98</t>
  </si>
  <si>
    <t>Monday98</t>
  </si>
  <si>
    <t>Tuesday98</t>
  </si>
  <si>
    <t>Wednesday98</t>
  </si>
  <si>
    <t>Thursday98</t>
  </si>
  <si>
    <t>friday98</t>
  </si>
  <si>
    <t>saturday98</t>
  </si>
  <si>
    <t xml:space="preserve">Trinity </t>
  </si>
  <si>
    <t>2 Pentecost a</t>
  </si>
  <si>
    <t>Proverbs 21:30-22-6,</t>
  </si>
  <si>
    <t>Proverbs 23:19-21, 29-24:2,</t>
  </si>
  <si>
    <t>Sunday 99</t>
  </si>
  <si>
    <t>Monday99</t>
  </si>
  <si>
    <t>Tuesday99</t>
  </si>
  <si>
    <t>Wednesday99</t>
  </si>
  <si>
    <t>Thursday99</t>
  </si>
  <si>
    <t>friday99</t>
  </si>
  <si>
    <t>saturday99</t>
  </si>
  <si>
    <t>2 Pentecost b</t>
  </si>
  <si>
    <t>Revelation 7:1-4, 9-17,</t>
  </si>
  <si>
    <t>Acts 8:14-25,</t>
  </si>
  <si>
    <t>1 Timothy 1:18-2:15,</t>
  </si>
  <si>
    <t>Sunday 100</t>
  </si>
  <si>
    <t>Monday100</t>
  </si>
  <si>
    <t>Tuesday100</t>
  </si>
  <si>
    <t>Wednesday100</t>
  </si>
  <si>
    <t>Thursday100</t>
  </si>
  <si>
    <t>friday100</t>
  </si>
  <si>
    <t>saturday100</t>
  </si>
  <si>
    <t>2 Pentecost c</t>
  </si>
  <si>
    <t>Matthew 12:33-45</t>
  </si>
  <si>
    <t>Luke 14:25-35</t>
  </si>
  <si>
    <t>Luke 15:1-10</t>
  </si>
  <si>
    <t>Luke 15:1-2, 11-32</t>
  </si>
  <si>
    <t>Luke 16:1-9</t>
  </si>
  <si>
    <t>Luke 16:10-17 (18)</t>
  </si>
  <si>
    <t>Luke 16:19-31</t>
  </si>
  <si>
    <t>Luke 10 25-28, 38-42</t>
  </si>
  <si>
    <t>Matthew 12:22-32</t>
  </si>
  <si>
    <t>Matthew 12:33-42</t>
  </si>
  <si>
    <t>Matthew 12:43-50</t>
  </si>
  <si>
    <t>Matthew 13:24-30</t>
  </si>
  <si>
    <t>Matthew 13:31-35</t>
  </si>
  <si>
    <t>Matthew 13:36-43</t>
  </si>
  <si>
    <t>Sunday 101</t>
  </si>
  <si>
    <t>Monday101</t>
  </si>
  <si>
    <t>Tuesday101</t>
  </si>
  <si>
    <t>Wednesday101</t>
  </si>
  <si>
    <t>Thursday101</t>
  </si>
  <si>
    <t>friday101</t>
  </si>
  <si>
    <t>saturday101</t>
  </si>
  <si>
    <t>2 Pentecost</t>
  </si>
  <si>
    <t>3 Pentecost a</t>
  </si>
  <si>
    <t>Deuteronomy 11:1-12,</t>
  </si>
  <si>
    <t>Deuteronomy 11:13-19,</t>
  </si>
  <si>
    <t>Deuteronomy 12:1-12,</t>
  </si>
  <si>
    <t>Deuteronomy 13:1-11,</t>
  </si>
  <si>
    <t>Deuteronomy 16:18-20, 17:14-20,</t>
  </si>
  <si>
    <t>Deuteronomy 26:1-11,</t>
  </si>
  <si>
    <t>Deuteronomy 29:2-15,</t>
  </si>
  <si>
    <t>Ecclesiastes 1:1-11,</t>
  </si>
  <si>
    <t>Ecclesiastes 2:1-15,</t>
  </si>
  <si>
    <t>Ecclesiastes 2:16-26,</t>
  </si>
  <si>
    <t>Ecclesiastes 3:1-15,</t>
  </si>
  <si>
    <t>Ecclesiastes 3:16-4:3,</t>
  </si>
  <si>
    <t>Ecclesiastes 5:1-7,</t>
  </si>
  <si>
    <t>Ecclesiastes 5:8-20,</t>
  </si>
  <si>
    <t>Sunday 102</t>
  </si>
  <si>
    <t>Monday102</t>
  </si>
  <si>
    <t>Tuesday102</t>
  </si>
  <si>
    <t>Wednesday102</t>
  </si>
  <si>
    <t>Thursday102</t>
  </si>
  <si>
    <t>friday102</t>
  </si>
  <si>
    <t>saturday102</t>
  </si>
  <si>
    <t>3 Penetcost b</t>
  </si>
  <si>
    <t>Revelation 10:1-11,</t>
  </si>
  <si>
    <t>2 Corinthians 5:11-6:2,</t>
  </si>
  <si>
    <t>2 Corinthians 6:3-13 (14-7:1),</t>
  </si>
  <si>
    <t>2 Corinthians 7:2-16,</t>
  </si>
  <si>
    <t>2 Corinthians 8:1-16,</t>
  </si>
  <si>
    <t>2 Corinthians 8:16-24,</t>
  </si>
  <si>
    <t>2 Corinthians 9:1-15,</t>
  </si>
  <si>
    <t>Acts 8:26-40,</t>
  </si>
  <si>
    <t>Galatians 3:23-4:11,</t>
  </si>
  <si>
    <t>Sunday 103</t>
  </si>
  <si>
    <t>Monday103</t>
  </si>
  <si>
    <t>Tuesday103</t>
  </si>
  <si>
    <t>Wednesday103</t>
  </si>
  <si>
    <t>Thursday103</t>
  </si>
  <si>
    <t>friday103</t>
  </si>
  <si>
    <t>saturday103</t>
  </si>
  <si>
    <t>3 Pentecost c</t>
  </si>
  <si>
    <t>Matthew 13:44-58</t>
  </si>
  <si>
    <t>Luke 17:1-10</t>
  </si>
  <si>
    <t>Luke 17:11-19</t>
  </si>
  <si>
    <t>Luke 17:20-37</t>
  </si>
  <si>
    <t>Luke 18:1-8</t>
  </si>
  <si>
    <t>Luke 18:15-30</t>
  </si>
  <si>
    <t>Matthew 13:44-52</t>
  </si>
  <si>
    <t>Matthew 13:53-58</t>
  </si>
  <si>
    <t>Matthew 14:1-12</t>
  </si>
  <si>
    <t>Matthew 14:13-21</t>
  </si>
  <si>
    <t>Matthew 14:22-36</t>
  </si>
  <si>
    <t>Matthew 15:1-20</t>
  </si>
  <si>
    <t>Sunday 104</t>
  </si>
  <si>
    <t>Monday104</t>
  </si>
  <si>
    <t>Tuesday104</t>
  </si>
  <si>
    <t>Wednesday104</t>
  </si>
  <si>
    <t>Thursday104</t>
  </si>
  <si>
    <t>friday104</t>
  </si>
  <si>
    <t>saturday104</t>
  </si>
  <si>
    <t>3 Pentecost</t>
  </si>
  <si>
    <t>4 Pentecost a</t>
  </si>
  <si>
    <t>Deuteronomy 29:16-29,</t>
  </si>
  <si>
    <t>Deuteronomy 30:1-10,</t>
  </si>
  <si>
    <t>Deuteronomy 30:11-20,</t>
  </si>
  <si>
    <t>Song of Solomon 1:1-3, 9-11, 15-16a; 2:1-3a,</t>
  </si>
  <si>
    <t>Song of Solomon 2:8-13; 4:1-4a, 5-7,9-11,</t>
  </si>
  <si>
    <t xml:space="preserve">Song of Solomon 5:10-16; 7:1-7a (9); 8:6-7, </t>
  </si>
  <si>
    <t>Ecclesiastes 6:1-12,</t>
  </si>
  <si>
    <t>Ecclesiastes 7:1-14,</t>
  </si>
  <si>
    <t>Ecclesiastes 8:14-9:10,</t>
  </si>
  <si>
    <t>Ecclesiastes 9:11-18,</t>
  </si>
  <si>
    <t>Ecclesiastes 11:1-8,</t>
  </si>
  <si>
    <t>Ecclesiastes 11:9-12:14,</t>
  </si>
  <si>
    <t>Numbers 3:1-13,</t>
  </si>
  <si>
    <t>Sunday 105</t>
  </si>
  <si>
    <t>Monday105</t>
  </si>
  <si>
    <t>Tuesday105</t>
  </si>
  <si>
    <t>Wednesday105</t>
  </si>
  <si>
    <t>Thursday105</t>
  </si>
  <si>
    <t>friday105</t>
  </si>
  <si>
    <t>saturday105</t>
  </si>
  <si>
    <t>4 Pentecost b</t>
  </si>
  <si>
    <t>Revelation 12:1-12,</t>
  </si>
  <si>
    <t>Acts 10:9-23,</t>
  </si>
  <si>
    <t>Sunday 106</t>
  </si>
  <si>
    <t>Monday106</t>
  </si>
  <si>
    <t>Tuesday106</t>
  </si>
  <si>
    <t>Wednesday106</t>
  </si>
  <si>
    <t>Thursday106</t>
  </si>
  <si>
    <t>friday106</t>
  </si>
  <si>
    <t>saturday106</t>
  </si>
  <si>
    <t>4 Pentecost c</t>
  </si>
  <si>
    <t>Matthew 15:29-39</t>
  </si>
  <si>
    <t>Luke 18:31-43</t>
  </si>
  <si>
    <t>luke 19:1-10</t>
  </si>
  <si>
    <t>Luke 19:11-27</t>
  </si>
  <si>
    <t>Luke 19:28-40</t>
  </si>
  <si>
    <t>Luke 12:32-40</t>
  </si>
  <si>
    <t>Matthew 15:21-28</t>
  </si>
  <si>
    <t>Matthew 16:1-12</t>
  </si>
  <si>
    <t>Matthew 16:13-20</t>
  </si>
  <si>
    <t>Matthew 16:21-28</t>
  </si>
  <si>
    <t>Matthew 17:1-13</t>
  </si>
  <si>
    <t>Sunday 107</t>
  </si>
  <si>
    <t>Monday107</t>
  </si>
  <si>
    <t>Tuesday107</t>
  </si>
  <si>
    <t>Wednesday107</t>
  </si>
  <si>
    <t>Thursday107</t>
  </si>
  <si>
    <t>friday107</t>
  </si>
  <si>
    <t>saturday107</t>
  </si>
  <si>
    <t>4 Pentecost</t>
  </si>
  <si>
    <t>5 Pentecost a</t>
  </si>
  <si>
    <t>Exodus 6:2-13; 7:1-6,</t>
  </si>
  <si>
    <t>1 Samuel 1:1-20,</t>
  </si>
  <si>
    <t>1 Samuel 1:21-2:11,</t>
  </si>
  <si>
    <t>1 Samuel 2:12-26,</t>
  </si>
  <si>
    <t>1 Samuel 2:27-36,</t>
  </si>
  <si>
    <t>1 Samuel 3:1-21,</t>
  </si>
  <si>
    <t>1 Samuel 4:1b-11,</t>
  </si>
  <si>
    <t>Numbers 6:22-27,</t>
  </si>
  <si>
    <t>Numbers 9:15-23, 10:29-36,</t>
  </si>
  <si>
    <t>Numbers 11:1-23,</t>
  </si>
  <si>
    <t>Numbers 11:24-33, (34-35),</t>
  </si>
  <si>
    <t>Numbers 12:1-16,</t>
  </si>
  <si>
    <t>Numbers 13:1-3, 21-30,</t>
  </si>
  <si>
    <t>Numbers 13:31-14:25,</t>
  </si>
  <si>
    <t>Sunday 108</t>
  </si>
  <si>
    <t>Monday108</t>
  </si>
  <si>
    <t>Tuesday108</t>
  </si>
  <si>
    <t>Wednesday108</t>
  </si>
  <si>
    <t>Thursday108</t>
  </si>
  <si>
    <t>friday108</t>
  </si>
  <si>
    <t>saturday108</t>
  </si>
  <si>
    <t xml:space="preserve">5 Pentecost b </t>
  </si>
  <si>
    <t>Revelation 15:1-8,</t>
  </si>
  <si>
    <t>Acts 1:1-14,</t>
  </si>
  <si>
    <t>Acts 1:15-26,</t>
  </si>
  <si>
    <t>Acts 2:1-21,</t>
  </si>
  <si>
    <t>Acts 2:22-36,</t>
  </si>
  <si>
    <t>Acts 2:37-47,</t>
  </si>
  <si>
    <t>Acts 4:32-5:11,</t>
  </si>
  <si>
    <t>Acts 13:1-12,</t>
  </si>
  <si>
    <t>Romans 1:28-2:11,</t>
  </si>
  <si>
    <t>Romans 2:25-3:8,</t>
  </si>
  <si>
    <t>Romans 3:9-20,</t>
  </si>
  <si>
    <t>Sunday 109</t>
  </si>
  <si>
    <t>Monday109</t>
  </si>
  <si>
    <t>Tuesday109</t>
  </si>
  <si>
    <t>Wednesday109</t>
  </si>
  <si>
    <t>Thursday109</t>
  </si>
  <si>
    <t>friday109</t>
  </si>
  <si>
    <t>saturday109</t>
  </si>
  <si>
    <t>5 Pentecost c</t>
  </si>
  <si>
    <t>Luke 20:9-19</t>
  </si>
  <si>
    <t>Luke 12:41-48</t>
  </si>
  <si>
    <t>Matthew 17:14-21</t>
  </si>
  <si>
    <t>Matthew 17:22-27</t>
  </si>
  <si>
    <t>Matthew 18:1-9</t>
  </si>
  <si>
    <t>Matthew 18:10-20</t>
  </si>
  <si>
    <t>Matthew 18:21-35</t>
  </si>
  <si>
    <t>Matthew 19:1-12</t>
  </si>
  <si>
    <t>Sunday 110</t>
  </si>
  <si>
    <t>Monday110</t>
  </si>
  <si>
    <t>Tuesday110</t>
  </si>
  <si>
    <t>Wednesday110</t>
  </si>
  <si>
    <t>Thursday110</t>
  </si>
  <si>
    <t>friday110</t>
  </si>
  <si>
    <t>saturday110</t>
  </si>
  <si>
    <t xml:space="preserve">5 Pentecost </t>
  </si>
  <si>
    <t>6 Pentecost a</t>
  </si>
  <si>
    <t>1 Samuel 4:12-22,</t>
  </si>
  <si>
    <t>1 Samuel 5:1-12,</t>
  </si>
  <si>
    <t>1 Samuel 6:1-16,</t>
  </si>
  <si>
    <t>1 Samuel 7:2-17,</t>
  </si>
  <si>
    <t>1 Samuel 8:1-22,</t>
  </si>
  <si>
    <t>1 Samuel 9:1-14,</t>
  </si>
  <si>
    <t>1 Samuel 9:15-10:1,</t>
  </si>
  <si>
    <t>Numbers 14:26-45,</t>
  </si>
  <si>
    <t>Numbers 16:1-19,</t>
  </si>
  <si>
    <t>Numbers 16:20-35,</t>
  </si>
  <si>
    <t>Numbers 16:36-50,</t>
  </si>
  <si>
    <t>Numbers 17:1-11,</t>
  </si>
  <si>
    <t>Numbers 20:1-13,</t>
  </si>
  <si>
    <t>Numbers 20:14-29,</t>
  </si>
  <si>
    <t>Sunday 111</t>
  </si>
  <si>
    <t>Monday111</t>
  </si>
  <si>
    <t>Tuesday111</t>
  </si>
  <si>
    <t>Wednesday111</t>
  </si>
  <si>
    <t>Thursday111</t>
  </si>
  <si>
    <t>friday111</t>
  </si>
  <si>
    <t>saturday111</t>
  </si>
  <si>
    <t>6 Pentecost b</t>
  </si>
  <si>
    <t>James 1:1-18,</t>
  </si>
  <si>
    <t>Acts 4:12-26,</t>
  </si>
  <si>
    <t>Acts 5:27-42,</t>
  </si>
  <si>
    <t>Acts 6:1-15,</t>
  </si>
  <si>
    <t>Acts 6:15-7:16,</t>
  </si>
  <si>
    <t>Acts 7:17-29,</t>
  </si>
  <si>
    <t>Acts 7:30-43,</t>
  </si>
  <si>
    <t>Acts 15:1-12,</t>
  </si>
  <si>
    <t>Romans 3:21-31,</t>
  </si>
  <si>
    <t>Sunday 112</t>
  </si>
  <si>
    <t>Monday112</t>
  </si>
  <si>
    <t>Tuesday112</t>
  </si>
  <si>
    <t>Wednesday112</t>
  </si>
  <si>
    <t>Thursday112</t>
  </si>
  <si>
    <t>friday112</t>
  </si>
  <si>
    <t>saturday112</t>
  </si>
  <si>
    <t>6 Pentecost c</t>
  </si>
  <si>
    <t>Matthew 19:23-30</t>
  </si>
  <si>
    <t>Luke 21:29-36</t>
  </si>
  <si>
    <t>Luke 21:37-22:13</t>
  </si>
  <si>
    <t>Luke 22:14-23</t>
  </si>
  <si>
    <t>Luke 22:24-30</t>
  </si>
  <si>
    <t>Luke 22:39-51</t>
  </si>
  <si>
    <t>Luke 12:49-56</t>
  </si>
  <si>
    <t>Matthew 19:13-22</t>
  </si>
  <si>
    <t>Matthew 20:1-16</t>
  </si>
  <si>
    <t>Matthew 20:17-28</t>
  </si>
  <si>
    <t>Matthew 20:29-34</t>
  </si>
  <si>
    <t>Sunday 113</t>
  </si>
  <si>
    <t>Monday113</t>
  </si>
  <si>
    <t>Tuesday113</t>
  </si>
  <si>
    <t>Wednesday113</t>
  </si>
  <si>
    <t>Thursday113</t>
  </si>
  <si>
    <t>friday113</t>
  </si>
  <si>
    <t>saturday113</t>
  </si>
  <si>
    <t>6 Pentecost</t>
  </si>
  <si>
    <t>7 Pentecost a</t>
  </si>
  <si>
    <t>1 Samuel 10:1-16,</t>
  </si>
  <si>
    <t>1 Samuel 10:17-27,</t>
  </si>
  <si>
    <t>1 Samuel 11:1-15,</t>
  </si>
  <si>
    <t>1 Samuel 12:1-6 (7-15) 16-25,</t>
  </si>
  <si>
    <t>1 Samuel 13:5-18,</t>
  </si>
  <si>
    <t>1 Samuel 13:19-14:15,</t>
  </si>
  <si>
    <t>1  Samuel 14:16-30,</t>
  </si>
  <si>
    <t>Numbers 21:4-9, 21-35,</t>
  </si>
  <si>
    <t>Numbers 22:1-21,</t>
  </si>
  <si>
    <t>Numbers 22:21-38,</t>
  </si>
  <si>
    <t>Numbers 22:41-23:12,</t>
  </si>
  <si>
    <t>Numbers 23:11-26,</t>
  </si>
  <si>
    <t>Numbers 24:1-13,</t>
  </si>
  <si>
    <t>Numbers 24:12-25,</t>
  </si>
  <si>
    <t>Sunday 114</t>
  </si>
  <si>
    <t>Monday114</t>
  </si>
  <si>
    <t>Tuesday114</t>
  </si>
  <si>
    <t>Wednesday114</t>
  </si>
  <si>
    <t>Thursday114</t>
  </si>
  <si>
    <t>friday114</t>
  </si>
  <si>
    <t>saturday114</t>
  </si>
  <si>
    <t>7 Pentecost b</t>
  </si>
  <si>
    <t>Acts 7:44-8:1a,</t>
  </si>
  <si>
    <t>Acts 8:1b-13,</t>
  </si>
  <si>
    <t>Acts 9:1-9,</t>
  </si>
  <si>
    <t>Acts 9:10-19a,</t>
  </si>
  <si>
    <t>Acts 17: (12-21) 22-34,</t>
  </si>
  <si>
    <t>Romans 8:12-17,</t>
  </si>
  <si>
    <t>Romans 8:18-25,</t>
  </si>
  <si>
    <t>Sunday 115</t>
  </si>
  <si>
    <t>Monday115</t>
  </si>
  <si>
    <t>Tuesday115</t>
  </si>
  <si>
    <t>Wednesday115</t>
  </si>
  <si>
    <t>Thursday115</t>
  </si>
  <si>
    <t>friday115</t>
  </si>
  <si>
    <t>saturday115</t>
  </si>
  <si>
    <t>7 Pentecost c</t>
  </si>
  <si>
    <t>Luke 22:52-62</t>
  </si>
  <si>
    <t>Luke 22:63-71</t>
  </si>
  <si>
    <t>Luke 23:1-12</t>
  </si>
  <si>
    <t>Luke 23:13-25</t>
  </si>
  <si>
    <t>Luke 23:26-31</t>
  </si>
  <si>
    <t>Luke 23:32-43</t>
  </si>
  <si>
    <t>Luke 13: 10-17</t>
  </si>
  <si>
    <t>Matthew 22:23-40</t>
  </si>
  <si>
    <t>Sunday 116</t>
  </si>
  <si>
    <t>Monday116</t>
  </si>
  <si>
    <t>Tuesday116</t>
  </si>
  <si>
    <t>Wednesday116</t>
  </si>
  <si>
    <t>Thursday116</t>
  </si>
  <si>
    <t>friday116</t>
  </si>
  <si>
    <t>saturday116</t>
  </si>
  <si>
    <t>7 Pentecost</t>
  </si>
  <si>
    <t>8 Pentecost a</t>
  </si>
  <si>
    <t>1 Samuel 14:36-45,</t>
  </si>
  <si>
    <t>1 Samuel 15:1-3, 7-23,</t>
  </si>
  <si>
    <t>1 Samuel 15:24-35,</t>
  </si>
  <si>
    <t>1 Samuel 16:1-13,</t>
  </si>
  <si>
    <t>1 Samuel 16:14-17:11,</t>
  </si>
  <si>
    <t>1 Samuel 17:17-30,</t>
  </si>
  <si>
    <t>1 Samuel 17:31-49,</t>
  </si>
  <si>
    <t>Numbers 27:12-23,</t>
  </si>
  <si>
    <t>Numbers 32:1-6, 16-27,</t>
  </si>
  <si>
    <t>Numbers 35:1-3, 9-15, 30-34,</t>
  </si>
  <si>
    <t>Deuteronomy 1:1-18,</t>
  </si>
  <si>
    <t>Deuteronomy 3:18-28,</t>
  </si>
  <si>
    <t>Deuteronomy 31:7-13, 24-32:4,</t>
  </si>
  <si>
    <t>Deuteronomy 34:1-12,</t>
  </si>
  <si>
    <t>Sunday 117</t>
  </si>
  <si>
    <t>Monday117</t>
  </si>
  <si>
    <t>Tuesday117</t>
  </si>
  <si>
    <t>Wednesday117</t>
  </si>
  <si>
    <t>Thursday117</t>
  </si>
  <si>
    <t>friday117</t>
  </si>
  <si>
    <t>saturday117</t>
  </si>
  <si>
    <t>8 Pentecost b</t>
  </si>
  <si>
    <t>Acts 9:19b-31,</t>
  </si>
  <si>
    <t>Acts 9:32-43,</t>
  </si>
  <si>
    <t>Acts 10:1-16,</t>
  </si>
  <si>
    <t>Acts 10:17-33,</t>
  </si>
  <si>
    <t>Acts 10:34-48,</t>
  </si>
  <si>
    <t>Acts 11:1-18,</t>
  </si>
  <si>
    <t>Acts 19:11-20,</t>
  </si>
  <si>
    <t>Romans 8:26-30,</t>
  </si>
  <si>
    <t>Romans 8:31-39,</t>
  </si>
  <si>
    <t>Sunday 118</t>
  </si>
  <si>
    <t>Monday118</t>
  </si>
  <si>
    <t>Tuesday118</t>
  </si>
  <si>
    <t>Wednesday118</t>
  </si>
  <si>
    <t>Thursday118</t>
  </si>
  <si>
    <t>friday118</t>
  </si>
  <si>
    <t>saturday118</t>
  </si>
  <si>
    <t>8 Pentecost c</t>
  </si>
  <si>
    <t>Luke 23:44-56a</t>
  </si>
  <si>
    <t>Luke 23:56b-24:11 (12)</t>
  </si>
  <si>
    <t>Luke 24:36-53</t>
  </si>
  <si>
    <t>Mark 1:14-20</t>
  </si>
  <si>
    <t>Matthew 24:32-51</t>
  </si>
  <si>
    <t>Sunday 119</t>
  </si>
  <si>
    <t>Monday119</t>
  </si>
  <si>
    <t>Tuesday119</t>
  </si>
  <si>
    <t>Wednesday119</t>
  </si>
  <si>
    <t>Thursday119</t>
  </si>
  <si>
    <t>friday119</t>
  </si>
  <si>
    <t>saturday119</t>
  </si>
  <si>
    <t>8 Pentecost</t>
  </si>
  <si>
    <t>9 Pentecost a</t>
  </si>
  <si>
    <t>1 Samuel 17:50-18:4,</t>
  </si>
  <si>
    <t>1 Samuel 18:5-16 (17-27a) 27b-30,</t>
  </si>
  <si>
    <t>1 Samuel 19:1-18 (19-24),</t>
  </si>
  <si>
    <t>1 Samuel 20:1-23,</t>
  </si>
  <si>
    <t>1 Samuel 20:24-42,</t>
  </si>
  <si>
    <t>1 Samuel 21:1-15,</t>
  </si>
  <si>
    <t>1 Samuel 22:1-23,</t>
  </si>
  <si>
    <t>Joshua 1:1-18,</t>
  </si>
  <si>
    <t>Joshua 2:1-14,</t>
  </si>
  <si>
    <t>Joshua 2:15-24,</t>
  </si>
  <si>
    <t>Joshua 3:1-13,</t>
  </si>
  <si>
    <t>Joshua 4:19-5:1, 10-15,</t>
  </si>
  <si>
    <t>Joshua 6:1-14,</t>
  </si>
  <si>
    <t>Sunday 120</t>
  </si>
  <si>
    <t>Monday120</t>
  </si>
  <si>
    <t>Tuesday120</t>
  </si>
  <si>
    <t>Wednesday120</t>
  </si>
  <si>
    <t>Thursday120</t>
  </si>
  <si>
    <t>friday120</t>
  </si>
  <si>
    <t>saturday120</t>
  </si>
  <si>
    <t xml:space="preserve"> 9 Pentecost b</t>
  </si>
  <si>
    <t>Romans 10:4-17,</t>
  </si>
  <si>
    <t>Acts 11:19-30,</t>
  </si>
  <si>
    <t>Acts 12:1-17,</t>
  </si>
  <si>
    <t>Acts 12:18-25,</t>
  </si>
  <si>
    <t>Acts 13:13-25,</t>
  </si>
  <si>
    <t>Acts 13:26-43,</t>
  </si>
  <si>
    <t>Acts 21:3-15,</t>
  </si>
  <si>
    <t>Romans 13:1-7,</t>
  </si>
  <si>
    <t>Sunday 121</t>
  </si>
  <si>
    <t>Monday121</t>
  </si>
  <si>
    <t>Tuesday121</t>
  </si>
  <si>
    <t>Wednesday121</t>
  </si>
  <si>
    <t>Thursday121</t>
  </si>
  <si>
    <t>friday121</t>
  </si>
  <si>
    <t>saturday121</t>
  </si>
  <si>
    <t>9 Pentecost c</t>
  </si>
  <si>
    <t>Matthew 23:29-39</t>
  </si>
  <si>
    <t>Mark 1:21-27</t>
  </si>
  <si>
    <t>Matthew 26:1-16</t>
  </si>
  <si>
    <t>Matthew 26:17-25</t>
  </si>
  <si>
    <t>Matthew 26:26-35</t>
  </si>
  <si>
    <t>Sunday 122</t>
  </si>
  <si>
    <t>Monday122</t>
  </si>
  <si>
    <t>Tuesday122</t>
  </si>
  <si>
    <t>Wednesday122</t>
  </si>
  <si>
    <t>Thursday122</t>
  </si>
  <si>
    <t>friday122</t>
  </si>
  <si>
    <t>saturday122</t>
  </si>
  <si>
    <t>9 Pentecost</t>
  </si>
  <si>
    <t>10 Pentecost a</t>
  </si>
  <si>
    <t>1 Samuel 23:7-18,</t>
  </si>
  <si>
    <t>1 Samuel 24:1-22,</t>
  </si>
  <si>
    <t>1 Samuel 25:1-22,</t>
  </si>
  <si>
    <t>1 Samuel 25:23-44,</t>
  </si>
  <si>
    <t>1 Samuel 28:3-20,</t>
  </si>
  <si>
    <t>1 Samuel 31:1-13,</t>
  </si>
  <si>
    <t>2 Samuel 1:1-16,</t>
  </si>
  <si>
    <t>Joshua 6:15-27,</t>
  </si>
  <si>
    <t>Joshua 7:1-13,</t>
  </si>
  <si>
    <t>Joshua 8: 1-22,</t>
  </si>
  <si>
    <t>Joshua 8:30-35,</t>
  </si>
  <si>
    <t>Joshua 9:3-21,</t>
  </si>
  <si>
    <t>Joshua 9:22-10:15,</t>
  </si>
  <si>
    <t>Joshua 23:1-16,</t>
  </si>
  <si>
    <t>Sunday 123</t>
  </si>
  <si>
    <t>Monday123</t>
  </si>
  <si>
    <t>Tuesday123</t>
  </si>
  <si>
    <t>Wednesday123</t>
  </si>
  <si>
    <t>Thursday123</t>
  </si>
  <si>
    <t>friday123</t>
  </si>
  <si>
    <t>saturday123</t>
  </si>
  <si>
    <t>10 Pentecost b</t>
  </si>
  <si>
    <t>Romans 11:33-12:2,</t>
  </si>
  <si>
    <t>Acts 13:44-52,</t>
  </si>
  <si>
    <t>Acts 14:1-18,</t>
  </si>
  <si>
    <t>Acts 14:19-28,</t>
  </si>
  <si>
    <t>Acts 15:1-11,</t>
  </si>
  <si>
    <t>Acts 15:12-21,</t>
  </si>
  <si>
    <t>Acts 15:22-35,</t>
  </si>
  <si>
    <t>Acts 22:30-23:11,</t>
  </si>
  <si>
    <t>Romans 13:8-14,</t>
  </si>
  <si>
    <t>Romans 15:14-24,</t>
  </si>
  <si>
    <t>Romans 15:25-33,</t>
  </si>
  <si>
    <t>Sunday 124</t>
  </si>
  <si>
    <t>Monday124</t>
  </si>
  <si>
    <t>Tuesday124</t>
  </si>
  <si>
    <t>Wednesday124</t>
  </si>
  <si>
    <t>Thursday124</t>
  </si>
  <si>
    <t>friday124</t>
  </si>
  <si>
    <t>saturday124</t>
  </si>
  <si>
    <t>10 Pentecost c</t>
  </si>
  <si>
    <t>Matthew 26:36-46</t>
  </si>
  <si>
    <t>Matthew 26:47-56</t>
  </si>
  <si>
    <t>Matthew 26:57-68</t>
  </si>
  <si>
    <t>Matthew 26:69-75</t>
  </si>
  <si>
    <t>Matthew 27:1-10</t>
  </si>
  <si>
    <t>Matthew 27:11-23</t>
  </si>
  <si>
    <t>Sunday 125</t>
  </si>
  <si>
    <t>Monday125</t>
  </si>
  <si>
    <t>Tuesday125</t>
  </si>
  <si>
    <t>Wednesday125</t>
  </si>
  <si>
    <t>Thursday125</t>
  </si>
  <si>
    <t>friday125</t>
  </si>
  <si>
    <t>saturday125</t>
  </si>
  <si>
    <t>10 Pentecost</t>
  </si>
  <si>
    <t>11 Pentecost a</t>
  </si>
  <si>
    <t>2 Samuel 1:17-27,</t>
  </si>
  <si>
    <t>2 Samuel 2:1-11,</t>
  </si>
  <si>
    <t>2 Samuel 3:6-21,</t>
  </si>
  <si>
    <t>2 Samuel 3:22-39,</t>
  </si>
  <si>
    <t>2 Samuel 4:1-12,</t>
  </si>
  <si>
    <t>2 Samuel 5:1-12,</t>
  </si>
  <si>
    <t>2 Samuel 5:22-6:11,</t>
  </si>
  <si>
    <t>Joshua 24:1-15,</t>
  </si>
  <si>
    <t>Joshua 24:16-33,</t>
  </si>
  <si>
    <t>Judges 2:1-5, 11-23,</t>
  </si>
  <si>
    <t>Judges 3:12-30,</t>
  </si>
  <si>
    <t>Judges 4:4-23,</t>
  </si>
  <si>
    <t>Judges 5:1-18,</t>
  </si>
  <si>
    <t>Judges 5:19-31,</t>
  </si>
  <si>
    <t>Sunday 126</t>
  </si>
  <si>
    <t>Monday126</t>
  </si>
  <si>
    <t>Tuesday126</t>
  </si>
  <si>
    <t>Wednesday126</t>
  </si>
  <si>
    <t>Thursday126</t>
  </si>
  <si>
    <t>friday126</t>
  </si>
  <si>
    <t>saturday126</t>
  </si>
  <si>
    <t>11 Pentecost b</t>
  </si>
  <si>
    <t>Acts 15:36-16:5,</t>
  </si>
  <si>
    <t>Acts 16:6-15,</t>
  </si>
  <si>
    <t>Acts 16:16-24,</t>
  </si>
  <si>
    <t>Acts 16:25-40,</t>
  </si>
  <si>
    <t>Acts 17:1-15,</t>
  </si>
  <si>
    <t>Acts 17:16-34,</t>
  </si>
  <si>
    <t>Acts 28:23-31,</t>
  </si>
  <si>
    <t>Romans 16:1-16,</t>
  </si>
  <si>
    <t>Romans 16:17-27,</t>
  </si>
  <si>
    <t>Sunday 127</t>
  </si>
  <si>
    <t>Monday127</t>
  </si>
  <si>
    <t>Tuesday127</t>
  </si>
  <si>
    <t>Wednesday127</t>
  </si>
  <si>
    <t>Thursday127</t>
  </si>
  <si>
    <t>friday127</t>
  </si>
  <si>
    <t>saturday127</t>
  </si>
  <si>
    <t>11 Pentecost c</t>
  </si>
  <si>
    <t>Mark 6:14-29</t>
  </si>
  <si>
    <t>Mark 2:23-28</t>
  </si>
  <si>
    <t>Matthew 27:24-31</t>
  </si>
  <si>
    <t>Matthew 27:32-44</t>
  </si>
  <si>
    <t>Matthew 27:45-54</t>
  </si>
  <si>
    <t>Matthew 27:55-66</t>
  </si>
  <si>
    <t>Matthew 28:1-10</t>
  </si>
  <si>
    <t>Matthew 28:11-20</t>
  </si>
  <si>
    <t>Sunday 128</t>
  </si>
  <si>
    <t>Monday128</t>
  </si>
  <si>
    <t>Tuesday128</t>
  </si>
  <si>
    <t>Wednesday128</t>
  </si>
  <si>
    <t>Thursday128</t>
  </si>
  <si>
    <t>friday128</t>
  </si>
  <si>
    <t>saturday128</t>
  </si>
  <si>
    <t>11 Pentecost</t>
  </si>
  <si>
    <t>12 Pentecost a</t>
  </si>
  <si>
    <t>2 Samuel 6:12-23,</t>
  </si>
  <si>
    <t>2 Samuel 9:1-13,</t>
  </si>
  <si>
    <t>2 Samuel 11:1-27,</t>
  </si>
  <si>
    <t>2 Samuel 12:1-14,</t>
  </si>
  <si>
    <t>2 Samuel 12:15-31,</t>
  </si>
  <si>
    <t>Judges 6:1-24,</t>
  </si>
  <si>
    <t>Judges 6:25-40,</t>
  </si>
  <si>
    <t>Judges 7:1-18,</t>
  </si>
  <si>
    <t>Judges 7:19-8:12,</t>
  </si>
  <si>
    <t>Judges 8:22-35,</t>
  </si>
  <si>
    <t>Judges 9:1-16, 19-21,</t>
  </si>
  <si>
    <t>Judges 9:22-25, 50-57,</t>
  </si>
  <si>
    <t>Sunday 129</t>
  </si>
  <si>
    <t>Monday129</t>
  </si>
  <si>
    <t>Tuesday129</t>
  </si>
  <si>
    <t>Wednesday129</t>
  </si>
  <si>
    <t>Thursday129</t>
  </si>
  <si>
    <t>friday129</t>
  </si>
  <si>
    <t>saturday129</t>
  </si>
  <si>
    <t>12 Pentecost b</t>
  </si>
  <si>
    <t>Romans 14:7-12,</t>
  </si>
  <si>
    <t>Acts 18:1-11,</t>
  </si>
  <si>
    <t>Acts 18:12-28,</t>
  </si>
  <si>
    <t>Acts 19:1-10,</t>
  </si>
  <si>
    <t>Acts 19:21-41,</t>
  </si>
  <si>
    <t>Acts 20:1-16,</t>
  </si>
  <si>
    <t>2 Corinthians 9:6-15,</t>
  </si>
  <si>
    <t>Acts 3:1-11,</t>
  </si>
  <si>
    <t>Acts 3:12-26,</t>
  </si>
  <si>
    <t>Acts 4:13-31,</t>
  </si>
  <si>
    <t>Sunday 130</t>
  </si>
  <si>
    <t>Monday130</t>
  </si>
  <si>
    <t>Tuesday130</t>
  </si>
  <si>
    <t>Wednesday130</t>
  </si>
  <si>
    <t>Thursday130</t>
  </si>
  <si>
    <t>friday130</t>
  </si>
  <si>
    <t>saturday130</t>
  </si>
  <si>
    <t>12 Pentecost c</t>
  </si>
  <si>
    <t>Mark 8:22-33</t>
  </si>
  <si>
    <t>Mark 8:34-9:1</t>
  </si>
  <si>
    <t>Mark9:14-29</t>
  </si>
  <si>
    <t>Mark 3:20-30</t>
  </si>
  <si>
    <t>John 1:29-42</t>
  </si>
  <si>
    <t>John 2:13-25</t>
  </si>
  <si>
    <t>Sunday 131</t>
  </si>
  <si>
    <t>Monday131</t>
  </si>
  <si>
    <t>Tuesday131</t>
  </si>
  <si>
    <t>Wednesday131</t>
  </si>
  <si>
    <t>Thursday131</t>
  </si>
  <si>
    <t>friday131</t>
  </si>
  <si>
    <t>saturday131</t>
  </si>
  <si>
    <t>12 Pentecost</t>
  </si>
  <si>
    <t>13 Pentecost a</t>
  </si>
  <si>
    <t>2 Samuel 13:1-22,</t>
  </si>
  <si>
    <t>2 Samuel 13:23-39,</t>
  </si>
  <si>
    <t>2 Samuel 14:1-20,</t>
  </si>
  <si>
    <t>2 Samuel 14:21-33,</t>
  </si>
  <si>
    <t>2 Samuel 15:1-18,</t>
  </si>
  <si>
    <t>2 Samuel 15:19-37,</t>
  </si>
  <si>
    <t>2 Samuel 16:1-23,</t>
  </si>
  <si>
    <t>Judges 11:1-11, 29-40,</t>
  </si>
  <si>
    <t>Judges 12:1-7,</t>
  </si>
  <si>
    <t>Judges 13:1-15,</t>
  </si>
  <si>
    <t>Judges 13:15-24,</t>
  </si>
  <si>
    <t>Judges 14:1-19,</t>
  </si>
  <si>
    <t>Judges 14:20-15:20,</t>
  </si>
  <si>
    <t>Judges 16:1-14,</t>
  </si>
  <si>
    <t>Sunday 132</t>
  </si>
  <si>
    <t>Monday132</t>
  </si>
  <si>
    <t>Tuesday132</t>
  </si>
  <si>
    <t>Wednesday132</t>
  </si>
  <si>
    <t>Thursday132</t>
  </si>
  <si>
    <t>friday132</t>
  </si>
  <si>
    <t>saturday132</t>
  </si>
  <si>
    <t>13 Pentecost b</t>
  </si>
  <si>
    <t>Acts 20:17-38,</t>
  </si>
  <si>
    <t>Acts 21:1-14,</t>
  </si>
  <si>
    <t>Acts 21:15-26,</t>
  </si>
  <si>
    <t>Acts 21:27-36,</t>
  </si>
  <si>
    <t>Acts 21:37-22:16,</t>
  </si>
  <si>
    <t>Acts 22:17-29,</t>
  </si>
  <si>
    <t>2 Corinthians 11:21b-31,</t>
  </si>
  <si>
    <t>Acts 5:12-26,</t>
  </si>
  <si>
    <t>Sunday 133</t>
  </si>
  <si>
    <t>Monday133</t>
  </si>
  <si>
    <t>Tuesday133</t>
  </si>
  <si>
    <t>Wednesday133</t>
  </si>
  <si>
    <t>Thursday133</t>
  </si>
  <si>
    <t>friday133</t>
  </si>
  <si>
    <t>saturday133</t>
  </si>
  <si>
    <t>13 Pentecost c</t>
  </si>
  <si>
    <t>John 3:1-21</t>
  </si>
  <si>
    <t>John 4: 1-26</t>
  </si>
  <si>
    <t>Sunday 134</t>
  </si>
  <si>
    <t>Monday134</t>
  </si>
  <si>
    <t>Tuesday134</t>
  </si>
  <si>
    <t>Wednesday134</t>
  </si>
  <si>
    <t>Thursday134</t>
  </si>
  <si>
    <t>friday134</t>
  </si>
  <si>
    <t>saturday134</t>
  </si>
  <si>
    <t>13 Pentecost</t>
  </si>
  <si>
    <t>14 Pentecost a</t>
  </si>
  <si>
    <t>2 Samuel 17:1-23,</t>
  </si>
  <si>
    <t>2 Samuel 17:24-18:8,</t>
  </si>
  <si>
    <t>2 Samuel 18:9-18,</t>
  </si>
  <si>
    <t>2 Samuel 18:19-33,</t>
  </si>
  <si>
    <t>2 Samuel 19:1-23,</t>
  </si>
  <si>
    <t>2 Samuel 19:24-43,</t>
  </si>
  <si>
    <t>2 Samuel 23:1-7, 13-17,</t>
  </si>
  <si>
    <t>Judges 16:15-31,</t>
  </si>
  <si>
    <t>Judges 17:1-13,</t>
  </si>
  <si>
    <t>Judges 18:1-15,</t>
  </si>
  <si>
    <t>Judges 18:16-31,</t>
  </si>
  <si>
    <t>Job 1:1-22,</t>
  </si>
  <si>
    <t>Job 2:1-13,</t>
  </si>
  <si>
    <t>Job 3:1-26,</t>
  </si>
  <si>
    <t>Sunday 135</t>
  </si>
  <si>
    <t>Monday135</t>
  </si>
  <si>
    <t>Tuesday135</t>
  </si>
  <si>
    <t>Wednesday135</t>
  </si>
  <si>
    <t>Thursday135</t>
  </si>
  <si>
    <t>friday135</t>
  </si>
  <si>
    <t>saturday135</t>
  </si>
  <si>
    <t>14 Pentecost b</t>
  </si>
  <si>
    <t>Galatians 3:6-14,</t>
  </si>
  <si>
    <t>Acts 23:12-24,</t>
  </si>
  <si>
    <t>Acts 23:23-35,</t>
  </si>
  <si>
    <t>Acts 24:1-23,</t>
  </si>
  <si>
    <t>Acts 24:24-25:12,</t>
  </si>
  <si>
    <t>Acts 25:13-27,</t>
  </si>
  <si>
    <t>2 Corinthians 13:1-11,</t>
  </si>
  <si>
    <t>Acts 8:1-13,</t>
  </si>
  <si>
    <t>Sunday 136</t>
  </si>
  <si>
    <t>Monday136</t>
  </si>
  <si>
    <t>Tuesday136</t>
  </si>
  <si>
    <t>Wednesday136</t>
  </si>
  <si>
    <t>Thursday136</t>
  </si>
  <si>
    <t>friday136</t>
  </si>
  <si>
    <t>saturday136</t>
  </si>
  <si>
    <t>14 Pentecost c</t>
  </si>
  <si>
    <t>Mark 12:28:34</t>
  </si>
  <si>
    <t>Mark 12:35-44</t>
  </si>
  <si>
    <t>Mark 13:1-13</t>
  </si>
  <si>
    <t>Mark 5:25-34</t>
  </si>
  <si>
    <t>Sunday 137</t>
  </si>
  <si>
    <t>Monday137</t>
  </si>
  <si>
    <t>Tuesday137</t>
  </si>
  <si>
    <t>Wednesday137</t>
  </si>
  <si>
    <t>Thursday137</t>
  </si>
  <si>
    <t>friday137</t>
  </si>
  <si>
    <t>saturday137</t>
  </si>
  <si>
    <t xml:space="preserve">14 Pentecost </t>
  </si>
  <si>
    <t>15 Pentecost a</t>
  </si>
  <si>
    <t>2Samuel 24:1-2, 10-25,</t>
  </si>
  <si>
    <t>1 Kings 1 :(1-4) 5-31,</t>
  </si>
  <si>
    <t>1 Kings 1:32-2:4 (5-46a) 46b,</t>
  </si>
  <si>
    <t>1 Kings 3:1-15,</t>
  </si>
  <si>
    <t>1 Kings 3:16-28,</t>
  </si>
  <si>
    <t>1 Kings 5:1-6:1, 7,</t>
  </si>
  <si>
    <t>1 Kings 7:51-8:21,</t>
  </si>
  <si>
    <t>Job 4:1-6, 12-21,</t>
  </si>
  <si>
    <t>Job 4:1; 5:1-11, 17-21, 26-27,</t>
  </si>
  <si>
    <t>Job 6:1-4, 8-15, 21,</t>
  </si>
  <si>
    <t>Job 6:1; 7:1-21,</t>
  </si>
  <si>
    <t>Job 8:1-10, 20-22,</t>
  </si>
  <si>
    <t>Job 9:1-15, 32-35,</t>
  </si>
  <si>
    <t>Job 9:1; 10:1-9, 16-22,</t>
  </si>
  <si>
    <t>Sunday 138</t>
  </si>
  <si>
    <t>Monday138</t>
  </si>
  <si>
    <t>Tuesday138</t>
  </si>
  <si>
    <t>Wednesday138</t>
  </si>
  <si>
    <t>Thursday138</t>
  </si>
  <si>
    <t>friday138</t>
  </si>
  <si>
    <t>saturday138</t>
  </si>
  <si>
    <t>15 Pentecost b</t>
  </si>
  <si>
    <t>Acts 26:1-23,</t>
  </si>
  <si>
    <t>Acts 26:24-27:8,</t>
  </si>
  <si>
    <t>Acts 27:9-26</t>
  </si>
  <si>
    <t>Acts 27:27-44,</t>
  </si>
  <si>
    <t>Acts 28:1-16,</t>
  </si>
  <si>
    <t>Acts 28:17-31,</t>
  </si>
  <si>
    <t>Revelation 4:1-11,</t>
  </si>
  <si>
    <t>Sunday 139</t>
  </si>
  <si>
    <t>Monday139</t>
  </si>
  <si>
    <t>Tuesday139</t>
  </si>
  <si>
    <t>Wednesday139</t>
  </si>
  <si>
    <t>Thursday139</t>
  </si>
  <si>
    <t>friday139</t>
  </si>
  <si>
    <t>saturday139</t>
  </si>
  <si>
    <t>15 Pentecost c</t>
  </si>
  <si>
    <t>Mark 13:14-27</t>
  </si>
  <si>
    <t>Mark 13:28-37</t>
  </si>
  <si>
    <t>Mark 14:1-11</t>
  </si>
  <si>
    <t>Mark 14:12-26</t>
  </si>
  <si>
    <t>Mark 14:27-42</t>
  </si>
  <si>
    <t>Mark 14:43-52</t>
  </si>
  <si>
    <t>Mark 6:1-6a</t>
  </si>
  <si>
    <t>Sunday 140</t>
  </si>
  <si>
    <t>Monday140</t>
  </si>
  <si>
    <t>Tuesday140</t>
  </si>
  <si>
    <t>Wednesday140</t>
  </si>
  <si>
    <t>Thursday140</t>
  </si>
  <si>
    <t>friday140</t>
  </si>
  <si>
    <t>saturday140</t>
  </si>
  <si>
    <t>15 Pentecost</t>
  </si>
  <si>
    <t>16 Pentecost a</t>
  </si>
  <si>
    <t>1 Kings 8:22-30 (31-40),</t>
  </si>
  <si>
    <t>2 Chronicles 6:32-7:7,</t>
  </si>
  <si>
    <t>1 Kings 8:65-9:9,</t>
  </si>
  <si>
    <t>1 Kings 9:24-10:13,</t>
  </si>
  <si>
    <t>1 Kings 11:1-13,</t>
  </si>
  <si>
    <t>1 Kings 11:26-43,</t>
  </si>
  <si>
    <t>1 Kings 12:1-20,</t>
  </si>
  <si>
    <t>Job 11:1-9, 13-20,</t>
  </si>
  <si>
    <t>Job 12:1-6, 13-25,</t>
  </si>
  <si>
    <t>Job 12:1; 13:3-17. 21-27,</t>
  </si>
  <si>
    <t>Job 12:1; 14:1-22,</t>
  </si>
  <si>
    <t>Job 16:16-22; 17:1, 13-16,</t>
  </si>
  <si>
    <t>Job 19:1-7, 14-27,</t>
  </si>
  <si>
    <t>Job 22:1-4, 21-23:7,</t>
  </si>
  <si>
    <t>Sunday 141</t>
  </si>
  <si>
    <t>Monday141</t>
  </si>
  <si>
    <t>Tuesday141</t>
  </si>
  <si>
    <t>Wednesday141</t>
  </si>
  <si>
    <t>Thursday141</t>
  </si>
  <si>
    <t>friday141</t>
  </si>
  <si>
    <t>saturday141</t>
  </si>
  <si>
    <t>16 Pentecost b</t>
  </si>
  <si>
    <t>1 Timothy 4:7b-16,</t>
  </si>
  <si>
    <t>James 2:1-13,</t>
  </si>
  <si>
    <t>James 2:14-26,</t>
  </si>
  <si>
    <t>James 3:1-12,</t>
  </si>
  <si>
    <t>James 3:13-4:12,</t>
  </si>
  <si>
    <t>James 4:13-5:6,</t>
  </si>
  <si>
    <t>James 5:7-20,</t>
  </si>
  <si>
    <t>Revelation 5:1-14,</t>
  </si>
  <si>
    <t>Sunday 142</t>
  </si>
  <si>
    <t>Monday142</t>
  </si>
  <si>
    <t>Tuesday142</t>
  </si>
  <si>
    <t>Wednesday142</t>
  </si>
  <si>
    <t>Thursday142</t>
  </si>
  <si>
    <t>friday142</t>
  </si>
  <si>
    <t>saturday142</t>
  </si>
  <si>
    <t>16 Pentecost c</t>
  </si>
  <si>
    <t>Mark 14:53-65</t>
  </si>
  <si>
    <t>Mark 14:66-72</t>
  </si>
  <si>
    <t>Mark 15:1-11</t>
  </si>
  <si>
    <t>Mark 15:12-21</t>
  </si>
  <si>
    <t>Mark 15:22-32</t>
  </si>
  <si>
    <t>Mark 15:33-39</t>
  </si>
  <si>
    <t>Sunday 143</t>
  </si>
  <si>
    <t>Monday143</t>
  </si>
  <si>
    <t>Tuesday143</t>
  </si>
  <si>
    <t>Wednesday143</t>
  </si>
  <si>
    <t>Thursday143</t>
  </si>
  <si>
    <t>friday143</t>
  </si>
  <si>
    <t>saturday143</t>
  </si>
  <si>
    <t>16 Pentecost</t>
  </si>
  <si>
    <t>17 Pentecost a</t>
  </si>
  <si>
    <t>1 Kings 12:21-33,</t>
  </si>
  <si>
    <t>1 Kings 13:1-10,</t>
  </si>
  <si>
    <t>1 Kings 16:23-34,</t>
  </si>
  <si>
    <t>1 Kings 17:1-24,</t>
  </si>
  <si>
    <t>1 Kings 18:1-19,</t>
  </si>
  <si>
    <t>1 Kings 18:20-40,</t>
  </si>
  <si>
    <t>1 Kings 18:41-19:8,</t>
  </si>
  <si>
    <t>Job 25:1-6; 27:1-6,</t>
  </si>
  <si>
    <t>Job 32:1-10, 19-33:1, 19-28,</t>
  </si>
  <si>
    <t>Job 29:1-20,</t>
  </si>
  <si>
    <t>Job 29:1; 30:1-2, 16-31,</t>
  </si>
  <si>
    <t>Job 29:1; 31:1-23,</t>
  </si>
  <si>
    <t>Job 29:1; 31:24-40,</t>
  </si>
  <si>
    <t>Job 38:1-17,</t>
  </si>
  <si>
    <t>Sunday 144</t>
  </si>
  <si>
    <t>Monday144</t>
  </si>
  <si>
    <t>Tuesday144</t>
  </si>
  <si>
    <t>Wednesday144</t>
  </si>
  <si>
    <t>Thursday144</t>
  </si>
  <si>
    <t>friday144</t>
  </si>
  <si>
    <t>saturday144</t>
  </si>
  <si>
    <t>17 Pentecost b</t>
  </si>
  <si>
    <t>Acts 4:18-31,</t>
  </si>
  <si>
    <t>Philippians 1:12-30,</t>
  </si>
  <si>
    <t>Philippians 2:1-11,</t>
  </si>
  <si>
    <t>Philippians 2:12-30,</t>
  </si>
  <si>
    <t>Philippians 3:1-16,</t>
  </si>
  <si>
    <t>Philippians 3:17-4:7,</t>
  </si>
  <si>
    <t>Revelation 14:1-7, 13,</t>
  </si>
  <si>
    <t>Sunday 145</t>
  </si>
  <si>
    <t>Monday145</t>
  </si>
  <si>
    <t>Tuesday145</t>
  </si>
  <si>
    <t>Wednesday145</t>
  </si>
  <si>
    <t>Thursday145</t>
  </si>
  <si>
    <t>friday145</t>
  </si>
  <si>
    <t>saturday145</t>
  </si>
  <si>
    <t>17 Pentecost c</t>
  </si>
  <si>
    <t>Mark 15:40-47</t>
  </si>
  <si>
    <t>Mark 16:1-8 (9-20)</t>
  </si>
  <si>
    <t>Matthew 2:1-12</t>
  </si>
  <si>
    <t>Matthew 2:13-23</t>
  </si>
  <si>
    <t>John 10:19-30</t>
  </si>
  <si>
    <t>Sunday 146</t>
  </si>
  <si>
    <t>Monday146</t>
  </si>
  <si>
    <t>Tuesday146</t>
  </si>
  <si>
    <t>Wednesday146</t>
  </si>
  <si>
    <t>Thursday146</t>
  </si>
  <si>
    <t>friday146</t>
  </si>
  <si>
    <t>saturday146</t>
  </si>
  <si>
    <t>17 Pentecost</t>
  </si>
  <si>
    <t>18 Pentecost a</t>
  </si>
  <si>
    <t>1 Kings 19:8-21,</t>
  </si>
  <si>
    <t>1 Kings 21:1-16,</t>
  </si>
  <si>
    <t>1 Kings 21:17-29,</t>
  </si>
  <si>
    <t>1 Kings 22:1-28,</t>
  </si>
  <si>
    <t>1 Kings 22:29-45,</t>
  </si>
  <si>
    <t>2 Kings 1:2-17,</t>
  </si>
  <si>
    <t>2 Kings 2:1-18,</t>
  </si>
  <si>
    <t>Job 38:1, 18-41,</t>
  </si>
  <si>
    <t>Job 40:1-24,</t>
  </si>
  <si>
    <t>Job 40:1; 41:1-11,</t>
  </si>
  <si>
    <t>Job 42:1-17,</t>
  </si>
  <si>
    <t>Job 28:1-28,</t>
  </si>
  <si>
    <t>Esther 1:1-4, 10-19,</t>
  </si>
  <si>
    <t>Esther 2:5-8, 15-23,</t>
  </si>
  <si>
    <t>Sunday 147</t>
  </si>
  <si>
    <t>Monday147</t>
  </si>
  <si>
    <t>Tuesday147</t>
  </si>
  <si>
    <t>Wednesday147</t>
  </si>
  <si>
    <t>Thursday147</t>
  </si>
  <si>
    <t>friday147</t>
  </si>
  <si>
    <t>saturday147</t>
  </si>
  <si>
    <t>18 Pentecost b</t>
  </si>
  <si>
    <t>Acts 5:34-42,</t>
  </si>
  <si>
    <t>Revelation 18:1-8,</t>
  </si>
  <si>
    <t>Sunday 148</t>
  </si>
  <si>
    <t>Monday148</t>
  </si>
  <si>
    <t>Tuesday148</t>
  </si>
  <si>
    <t>Wednesday148</t>
  </si>
  <si>
    <t>Thursday148</t>
  </si>
  <si>
    <t>friday148</t>
  </si>
  <si>
    <t>saturday148</t>
  </si>
  <si>
    <t>18 Pentecost c</t>
  </si>
  <si>
    <t>John 11:45-57</t>
  </si>
  <si>
    <t>John 12:36b-43</t>
  </si>
  <si>
    <t>Sunday 149</t>
  </si>
  <si>
    <t>Monday149</t>
  </si>
  <si>
    <t>Tuesday149</t>
  </si>
  <si>
    <t>Wednesday149</t>
  </si>
  <si>
    <t>Thursday149</t>
  </si>
  <si>
    <t>friday149</t>
  </si>
  <si>
    <t>saturday149</t>
  </si>
  <si>
    <t>18 Pentecost</t>
  </si>
  <si>
    <t>19 Pentecost a</t>
  </si>
  <si>
    <t>2 Kings 4:8-37,</t>
  </si>
  <si>
    <t>2 Kings 5:1-19,</t>
  </si>
  <si>
    <t>2 Kings 5:19-27,</t>
  </si>
  <si>
    <t>2 Kings 6:1-23,</t>
  </si>
  <si>
    <t>2 Kings 9:1-16,</t>
  </si>
  <si>
    <t>2 Kings 9:17-37,</t>
  </si>
  <si>
    <t>2 Kings 11:1-20a,</t>
  </si>
  <si>
    <t>Esther 3:1-4:3,</t>
  </si>
  <si>
    <t>Esther 4:4-17,</t>
  </si>
  <si>
    <t xml:space="preserve"> Esther 5:1-14,</t>
  </si>
  <si>
    <t>Esther 6:1-14,</t>
  </si>
  <si>
    <t>Esther 7:1-10,</t>
  </si>
  <si>
    <t>Esther 8:1-8, 15-17,</t>
  </si>
  <si>
    <t>Esther 9:1-32,</t>
  </si>
  <si>
    <t>Sunday 150</t>
  </si>
  <si>
    <t>Monday150</t>
  </si>
  <si>
    <t>Tuesday150</t>
  </si>
  <si>
    <t>Wednesday150</t>
  </si>
  <si>
    <t>Thursday150</t>
  </si>
  <si>
    <t>friday150</t>
  </si>
  <si>
    <t>saturday150</t>
  </si>
  <si>
    <t>19 Pentecost b</t>
  </si>
  <si>
    <t>Acts 9:10-31,</t>
  </si>
  <si>
    <t>1 Corinthians 4:8-21,</t>
  </si>
  <si>
    <t>James 1:19-27,</t>
  </si>
  <si>
    <t>Sunday 151</t>
  </si>
  <si>
    <t>Monday151</t>
  </si>
  <si>
    <t>Tuesday151</t>
  </si>
  <si>
    <t>Wednesday151</t>
  </si>
  <si>
    <t>Thursday151</t>
  </si>
  <si>
    <t>friday151</t>
  </si>
  <si>
    <t>saturday151</t>
  </si>
  <si>
    <t>19 Pentecost c</t>
  </si>
  <si>
    <t>Luke 3:7-18</t>
  </si>
  <si>
    <t>Luke (1:1-4) 3:1-14</t>
  </si>
  <si>
    <t>Sunday 152</t>
  </si>
  <si>
    <t>Monday152</t>
  </si>
  <si>
    <t>Tuesday152</t>
  </si>
  <si>
    <t>Wednesday152</t>
  </si>
  <si>
    <t>Thursday152</t>
  </si>
  <si>
    <t>friday152</t>
  </si>
  <si>
    <t>saturday152</t>
  </si>
  <si>
    <t>19 Pentecost</t>
  </si>
  <si>
    <t>20 Pentecost a</t>
  </si>
  <si>
    <t>2 Kings 17:1-18,</t>
  </si>
  <si>
    <t>2 Kings 17:24-41,</t>
  </si>
  <si>
    <t>2 Chronicles 29:1-3; 30:1 (2-9) 10-27,</t>
  </si>
  <si>
    <t>2 Kings 18:9-25,</t>
  </si>
  <si>
    <t>2 Kings 18:28-37,</t>
  </si>
  <si>
    <t>2 Kings 19:1-20,</t>
  </si>
  <si>
    <t>2 Kings 19:21-36,</t>
  </si>
  <si>
    <t>Hosea 1:1-2:1,</t>
  </si>
  <si>
    <t>Hosea 2:2-15,</t>
  </si>
  <si>
    <t>Hosea 2:16-23,</t>
  </si>
  <si>
    <t>Hosea 3:1-5,</t>
  </si>
  <si>
    <t>Hosea 4:1-10,</t>
  </si>
  <si>
    <t>Hosea 4:11-19,</t>
  </si>
  <si>
    <t>Hosea 5:1-7,</t>
  </si>
  <si>
    <t>Sunday 153</t>
  </si>
  <si>
    <t>Monday153</t>
  </si>
  <si>
    <t>Tuesday153</t>
  </si>
  <si>
    <t>Wednesday153</t>
  </si>
  <si>
    <t>Thursday153</t>
  </si>
  <si>
    <t>friday153</t>
  </si>
  <si>
    <t>saturday153</t>
  </si>
  <si>
    <t>20 Pentecost b</t>
  </si>
  <si>
    <t>Acts 9:36-43,</t>
  </si>
  <si>
    <t>James 3:1-13,</t>
  </si>
  <si>
    <t>Sunday 154</t>
  </si>
  <si>
    <t>Monday154</t>
  </si>
  <si>
    <t>Tuesday154</t>
  </si>
  <si>
    <t>Wednesday154</t>
  </si>
  <si>
    <t>Thursday154</t>
  </si>
  <si>
    <t>friday154</t>
  </si>
  <si>
    <t>saturday154</t>
  </si>
  <si>
    <t>20 pentecost c</t>
  </si>
  <si>
    <t>Matthew 8:1-17</t>
  </si>
  <si>
    <t>Luke 6:12-26</t>
  </si>
  <si>
    <t>Sunday 155</t>
  </si>
  <si>
    <t>Monday155</t>
  </si>
  <si>
    <t>Tuesday155</t>
  </si>
  <si>
    <t>Wednesday155</t>
  </si>
  <si>
    <t>Thursday155</t>
  </si>
  <si>
    <t>friday155</t>
  </si>
  <si>
    <t>saturday155</t>
  </si>
  <si>
    <t>20 Pentecost</t>
  </si>
  <si>
    <t>21 Pentecost a</t>
  </si>
  <si>
    <t>2 Kings 20:1-21,</t>
  </si>
  <si>
    <t>2 Kings 21:1-18,</t>
  </si>
  <si>
    <t>2 Kings 22:1-13,</t>
  </si>
  <si>
    <t>2 Kings 22:14-23:3,</t>
  </si>
  <si>
    <t>2 Kings 23:4-25,</t>
  </si>
  <si>
    <t>2 Kings 23:36-24:17,</t>
  </si>
  <si>
    <t>Jeremiah 35:1-19,</t>
  </si>
  <si>
    <t>Hosea 5:8-6:6,</t>
  </si>
  <si>
    <t>Hosea 6:7-7:7,</t>
  </si>
  <si>
    <t>Hosea 7:8-16,</t>
  </si>
  <si>
    <t>Hosea 8:1-14,</t>
  </si>
  <si>
    <t>Hosea 9:1-9,</t>
  </si>
  <si>
    <t>Hosea 9:10-17,</t>
  </si>
  <si>
    <t>Hosea 10:1-15,</t>
  </si>
  <si>
    <t>Sunday 156</t>
  </si>
  <si>
    <t>Monday156</t>
  </si>
  <si>
    <t>Tuesday156</t>
  </si>
  <si>
    <t>Wednesday156</t>
  </si>
  <si>
    <t>Thursday156</t>
  </si>
  <si>
    <t>friday156</t>
  </si>
  <si>
    <t>saturday156</t>
  </si>
  <si>
    <t>21 Pentecost b</t>
  </si>
  <si>
    <t>1 Corinthians 11:2 (3-16) 17-22,</t>
  </si>
  <si>
    <t>1 Corinthians 11:23-34,</t>
  </si>
  <si>
    <t>1 Corinthians 2:6-16,</t>
  </si>
  <si>
    <t>Sunday 157</t>
  </si>
  <si>
    <t>Monday157</t>
  </si>
  <si>
    <t>Tuesday157</t>
  </si>
  <si>
    <t>Wednesday157</t>
  </si>
  <si>
    <t>Thursday157</t>
  </si>
  <si>
    <t>friday157</t>
  </si>
  <si>
    <t>saturday157</t>
  </si>
  <si>
    <t>21 Pentecost c</t>
  </si>
  <si>
    <t>Luke 7:11-17</t>
  </si>
  <si>
    <t>Matthew 9;35-10:4</t>
  </si>
  <si>
    <t>Luke 7:18-35</t>
  </si>
  <si>
    <t>Sunday 158</t>
  </si>
  <si>
    <t>Monday158</t>
  </si>
  <si>
    <t>Tuesday158</t>
  </si>
  <si>
    <t>Wednesday158</t>
  </si>
  <si>
    <t>Thursday158</t>
  </si>
  <si>
    <t>friday158</t>
  </si>
  <si>
    <t>saturday158</t>
  </si>
  <si>
    <t>21 Pentecost</t>
  </si>
  <si>
    <t xml:space="preserve">22 Pentecost a </t>
  </si>
  <si>
    <t>Jeremiah 36:1-10,</t>
  </si>
  <si>
    <t>Jeremiah 36:11-26,</t>
  </si>
  <si>
    <t>Jeremiah 36:27-37:2,</t>
  </si>
  <si>
    <t>Jeremiah 37:3:21,</t>
  </si>
  <si>
    <t>Jeremiah 38:1-13,</t>
  </si>
  <si>
    <t>Jeremiah 38:14-28,</t>
  </si>
  <si>
    <t>Jeremiah 52:1-34,</t>
  </si>
  <si>
    <t>Hosea 11:1-11,</t>
  </si>
  <si>
    <t>Hosea 11:12-12:1,</t>
  </si>
  <si>
    <t>Hosea 12:2-14,</t>
  </si>
  <si>
    <t>Hosea 13:1-3,</t>
  </si>
  <si>
    <t>Hosea 13:4-8,</t>
  </si>
  <si>
    <t>Hosea 13:9-16,</t>
  </si>
  <si>
    <t>Hosea 14:1-9,</t>
  </si>
  <si>
    <t>Sunday 159</t>
  </si>
  <si>
    <t>Monday159</t>
  </si>
  <si>
    <t>Tuesday159</t>
  </si>
  <si>
    <t>Wednesday159</t>
  </si>
  <si>
    <t>Thursday159</t>
  </si>
  <si>
    <t>friday159</t>
  </si>
  <si>
    <t>saturday159</t>
  </si>
  <si>
    <t>22 Pentecost b</t>
  </si>
  <si>
    <t>Acts 14:8-18,</t>
  </si>
  <si>
    <t>1 Corinthians 13:(1-3) 4-13,</t>
  </si>
  <si>
    <t>1 Corinthians 14:1-12,</t>
  </si>
  <si>
    <t>1 Corinthians 14:13-25,</t>
  </si>
  <si>
    <t>1 Corinthians 14:26-33a (33b-36) 37-40,</t>
  </si>
  <si>
    <t>1 Corinthians 15:12-29,</t>
  </si>
  <si>
    <t>1 Corinthians 4:9-16,</t>
  </si>
  <si>
    <t>Acts 27:9-26,</t>
  </si>
  <si>
    <t>Sunday 160</t>
  </si>
  <si>
    <t>Monday160</t>
  </si>
  <si>
    <t>Tuesday160</t>
  </si>
  <si>
    <t>Wednesday160</t>
  </si>
  <si>
    <t>Thursday160</t>
  </si>
  <si>
    <t>friday160</t>
  </si>
  <si>
    <t>saturday160</t>
  </si>
  <si>
    <t>22 Pentecost c</t>
  </si>
  <si>
    <t>Matthew 10:24-33</t>
  </si>
  <si>
    <t>Sunday 161</t>
  </si>
  <si>
    <t>Monday161</t>
  </si>
  <si>
    <t>Tuesday161</t>
  </si>
  <si>
    <t>Wednesday161</t>
  </si>
  <si>
    <t>Thursday161</t>
  </si>
  <si>
    <t>friday161</t>
  </si>
  <si>
    <t>saturday161</t>
  </si>
  <si>
    <t xml:space="preserve">22 Pentecost </t>
  </si>
  <si>
    <t>23 Pentecost a</t>
  </si>
  <si>
    <t>Jeremiah 29:1, 4-14 or 39:11-40:6,</t>
  </si>
  <si>
    <t>Jeremiah 44:1-14 or 29:1, 4-14,</t>
  </si>
  <si>
    <t>Lam. 1:1-12 or Jer.40:7-41:3,</t>
  </si>
  <si>
    <t>Lam. 2:8-15 or Jer.41:4-18,</t>
  </si>
  <si>
    <t>Ezra 1:1-11 or Jer 42:1-22,</t>
  </si>
  <si>
    <t>Ezra 3:1-13 or Jer. 43:1-13,</t>
  </si>
  <si>
    <t>Ezra 4:7, 11-24 or Jer 44:1-14,</t>
  </si>
  <si>
    <t>Micah 1:1-9,</t>
  </si>
  <si>
    <t>Micah 2:1-13,</t>
  </si>
  <si>
    <t>Micah 3:1-8,</t>
  </si>
  <si>
    <t>Micah 3:9-4:5,</t>
  </si>
  <si>
    <t>Micah 5:1-4, 10-15,</t>
  </si>
  <si>
    <t>Micah 6:1-8,</t>
  </si>
  <si>
    <t>Micah 7:1-7,</t>
  </si>
  <si>
    <t>Sunday 162</t>
  </si>
  <si>
    <t>Monday162</t>
  </si>
  <si>
    <t>Tuesday162</t>
  </si>
  <si>
    <t>Wednesday162</t>
  </si>
  <si>
    <t>Thursday162</t>
  </si>
  <si>
    <t>friday162</t>
  </si>
  <si>
    <t>saturday162</t>
  </si>
  <si>
    <t>23 Pentecost b</t>
  </si>
  <si>
    <t>1 Corinthians 15:30-41,</t>
  </si>
  <si>
    <t>1 Corinthians 16:1-9,</t>
  </si>
  <si>
    <t>1 Corinthians 16:10-24,</t>
  </si>
  <si>
    <t>Revelation 7:1-8,</t>
  </si>
  <si>
    <t>Revelation 7:9-17,</t>
  </si>
  <si>
    <t>Revelation 8:1-13,</t>
  </si>
  <si>
    <t>Revelation 9:1-12,</t>
  </si>
  <si>
    <t>Revelation 9:13-21,</t>
  </si>
  <si>
    <t>Sunday 163</t>
  </si>
  <si>
    <t>Monday163</t>
  </si>
  <si>
    <t>Tuesday163</t>
  </si>
  <si>
    <t>Wednesday163</t>
  </si>
  <si>
    <t>Thursday163</t>
  </si>
  <si>
    <t>friday163</t>
  </si>
  <si>
    <t>saturday163</t>
  </si>
  <si>
    <t>23 Pentecost c</t>
  </si>
  <si>
    <t>Luke 10:1-12, 17-20</t>
  </si>
  <si>
    <t>Luke 10:1-16</t>
  </si>
  <si>
    <t>Sunday 164</t>
  </si>
  <si>
    <t>Monday164</t>
  </si>
  <si>
    <t>Tuesday164</t>
  </si>
  <si>
    <t>Wednesday164</t>
  </si>
  <si>
    <t>Thursday164</t>
  </si>
  <si>
    <t>friday164</t>
  </si>
  <si>
    <t>saturday164</t>
  </si>
  <si>
    <t>23 Pentecost (variable)</t>
  </si>
  <si>
    <t>24 Pentecost a</t>
  </si>
  <si>
    <t>Haggai 1:1-2:9 or Jer. 44:15-30,</t>
  </si>
  <si>
    <t>Zech. 1:7-17 or Jer 45:1-5,</t>
  </si>
  <si>
    <t>Ezra 5:1-17 or Lam. 1:1-5 (6-9) 10-12,</t>
  </si>
  <si>
    <t>Ezra 6:1-22 or Lam. 2:8-15,</t>
  </si>
  <si>
    <t>Neh. 1:1-11 or Lam. 2:16-22,</t>
  </si>
  <si>
    <t>Neh. 2:1-20 or Lam. 4:1-22,</t>
  </si>
  <si>
    <t xml:space="preserve">Neh 4:1-23 or Lam. 5:1-22, </t>
  </si>
  <si>
    <t>Jonah 1:1-17a,</t>
  </si>
  <si>
    <t>Jonah 1:17-2:10,</t>
  </si>
  <si>
    <t>Nahum 1:1-14,</t>
  </si>
  <si>
    <t>Nahum 1:15-2:12,</t>
  </si>
  <si>
    <t>Nahum 2:13-3:7,</t>
  </si>
  <si>
    <t>Nahum 3:8-19,</t>
  </si>
  <si>
    <t>Sunday 165</t>
  </si>
  <si>
    <t>Monday165</t>
  </si>
  <si>
    <t>Tuesday165</t>
  </si>
  <si>
    <t>Wednesday165</t>
  </si>
  <si>
    <t>Thursday165</t>
  </si>
  <si>
    <t>friday165</t>
  </si>
  <si>
    <t>saturday165</t>
  </si>
  <si>
    <t>24 Pentecost b</t>
  </si>
  <si>
    <t>Acts 18:24-19:7,</t>
  </si>
  <si>
    <t>Revelation 1:4-20,</t>
  </si>
  <si>
    <t>Revelation 5:1-10,</t>
  </si>
  <si>
    <t>Revelation 5:11-6:11,</t>
  </si>
  <si>
    <t>Revelation 6:12-7:4,</t>
  </si>
  <si>
    <t>Revelation 7:(4-8) 9-17,</t>
  </si>
  <si>
    <t>1 Corinthians 10:15-24,</t>
  </si>
  <si>
    <t>Revelation 11:1-14,</t>
  </si>
  <si>
    <t>Revelation 11:14-19,</t>
  </si>
  <si>
    <t>Revelation 12:1-6,</t>
  </si>
  <si>
    <t>Revelation 12:7-17,</t>
  </si>
  <si>
    <t>Revelation 13:1-10,</t>
  </si>
  <si>
    <t>Revelation 13:11-18,</t>
  </si>
  <si>
    <t>Sunday 166</t>
  </si>
  <si>
    <t>Monday166</t>
  </si>
  <si>
    <t>Tuesday166</t>
  </si>
  <si>
    <t>Wednesday166</t>
  </si>
  <si>
    <t>Thursday166</t>
  </si>
  <si>
    <t>friday166</t>
  </si>
  <si>
    <t>saturday166</t>
  </si>
  <si>
    <t>24 Pentecost c</t>
  </si>
  <si>
    <t>Matthew 13:1-9</t>
  </si>
  <si>
    <t>Matthew 13:10-17</t>
  </si>
  <si>
    <t>Matthew 18:15-20</t>
  </si>
  <si>
    <t>Luke 11:14-26</t>
  </si>
  <si>
    <t>Luke 11:27-36</t>
  </si>
  <si>
    <t>Sunday 167</t>
  </si>
  <si>
    <t>Monday167</t>
  </si>
  <si>
    <t>Tuesday167</t>
  </si>
  <si>
    <t>Wednesday167</t>
  </si>
  <si>
    <t>Thursday167</t>
  </si>
  <si>
    <t>friday167</t>
  </si>
  <si>
    <t>saturday167</t>
  </si>
  <si>
    <t>24 Pentecost (variable)</t>
  </si>
  <si>
    <t>25 Pentecost a</t>
  </si>
  <si>
    <t>Neh. 5:1-19 or Ezra 1:1-11,</t>
  </si>
  <si>
    <t>Neh 6:1-19 or Ezra 3:1-13,</t>
  </si>
  <si>
    <t>Neh. 12:27-31a, 42b-47 or Ezra 4:7, 11-24,</t>
  </si>
  <si>
    <t>Neh. 13:4-22 or Haggai 1:1-2:9,</t>
  </si>
  <si>
    <t>Ezra 7:(1-10) 11-26 or Zech. 1:7-17,</t>
  </si>
  <si>
    <t>Ezra 7:27-28, 8:21-36 or 5:1-17,</t>
  </si>
  <si>
    <t>Ezra 9:1-15 or 6:1-22,</t>
  </si>
  <si>
    <t>Zephaniah 1:1-6,</t>
  </si>
  <si>
    <t>Zephaniah 1:7-13,</t>
  </si>
  <si>
    <t>Zephaniah 1:14-18,</t>
  </si>
  <si>
    <t>Zephaniah 2:1-15,</t>
  </si>
  <si>
    <t>Zephaniah 3:1-7,</t>
  </si>
  <si>
    <t>Zephaniah 3:8-13,</t>
  </si>
  <si>
    <t>Sunday 168</t>
  </si>
  <si>
    <t>Monday168</t>
  </si>
  <si>
    <t>Tuesday168</t>
  </si>
  <si>
    <t>Wednesday168</t>
  </si>
  <si>
    <t>Thursday168</t>
  </si>
  <si>
    <t>friday168</t>
  </si>
  <si>
    <t>saturday168</t>
  </si>
  <si>
    <t>25 Pentecost b</t>
  </si>
  <si>
    <t>Acts 20:7-12,</t>
  </si>
  <si>
    <t>Revelation 11:1-19,</t>
  </si>
  <si>
    <t>Revelation 14:1-13,</t>
  </si>
  <si>
    <t>Revelation 17:1-14,</t>
  </si>
  <si>
    <t>1 Corinthians 12:27-13:13,</t>
  </si>
  <si>
    <t>Revelation 14:14-15:8,</t>
  </si>
  <si>
    <t>Revelation 16:1-11,</t>
  </si>
  <si>
    <t>Revelation 16:12-21,</t>
  </si>
  <si>
    <t>Revelation 17:1-18,</t>
  </si>
  <si>
    <t>Revelation 18:1-14,</t>
  </si>
  <si>
    <t>Sunday 169</t>
  </si>
  <si>
    <t>Monday169</t>
  </si>
  <si>
    <t>Tuesday169</t>
  </si>
  <si>
    <t>Wednesday169</t>
  </si>
  <si>
    <t>Thursday169</t>
  </si>
  <si>
    <t>friday169</t>
  </si>
  <si>
    <t>saturday169</t>
  </si>
  <si>
    <t>25 Pentecost c</t>
  </si>
  <si>
    <t>Sunday 170</t>
  </si>
  <si>
    <t>Monday170</t>
  </si>
  <si>
    <t>Tuesday170</t>
  </si>
  <si>
    <t>Wednesday170</t>
  </si>
  <si>
    <t>Thursday170</t>
  </si>
  <si>
    <t>friday170</t>
  </si>
  <si>
    <t>saturday170</t>
  </si>
  <si>
    <t>25 Pentecost (variable)</t>
  </si>
  <si>
    <t>26 Pentecost a</t>
  </si>
  <si>
    <t>Ezra 10:1-17 or Neh 1:1-11,</t>
  </si>
  <si>
    <t>Neh 9:1-15 (16-25) or 2:1-20,</t>
  </si>
  <si>
    <t>Neh 9:26-38 or 4:1-23,</t>
  </si>
  <si>
    <t>Neh7:73b-8:3, 5-18 or 5:1-19,</t>
  </si>
  <si>
    <t>Nehemiah 6:1-19,</t>
  </si>
  <si>
    <t>Nehemiah 12:27-31a, 42b-47,</t>
  </si>
  <si>
    <t>Nehemiah 13:4-22,</t>
  </si>
  <si>
    <t>Joel 1:1-13,</t>
  </si>
  <si>
    <t>Joel 1:1-13 or 1:15--2:2,</t>
  </si>
  <si>
    <t>Joel 1:15-2:2 (3-11) or 2:3-11,</t>
  </si>
  <si>
    <t>Joel 2:12-19,</t>
  </si>
  <si>
    <t>Joel 2:21-27,</t>
  </si>
  <si>
    <t>Joel 2:28-3:8,</t>
  </si>
  <si>
    <t>Joel 3:9-17,</t>
  </si>
  <si>
    <t>Sunday 171</t>
  </si>
  <si>
    <t>Monday171</t>
  </si>
  <si>
    <t>Tuesday171</t>
  </si>
  <si>
    <t>Wednesday171</t>
  </si>
  <si>
    <t>Thursday171</t>
  </si>
  <si>
    <t>friday171</t>
  </si>
  <si>
    <t>saturday171</t>
  </si>
  <si>
    <t>26 Pentecost b</t>
  </si>
  <si>
    <t>Acts 24:10-21,</t>
  </si>
  <si>
    <t>Revelation 18:9-20,</t>
  </si>
  <si>
    <t>Revelation 18:21-24,</t>
  </si>
  <si>
    <t>Revelation 19:1-10,</t>
  </si>
  <si>
    <t>Revelation 20:1-6,</t>
  </si>
  <si>
    <t>Revelation 18:15-24,</t>
  </si>
  <si>
    <t>Revelation 19:11-21,</t>
  </si>
  <si>
    <t>Sunday 172</t>
  </si>
  <si>
    <t>Monday172</t>
  </si>
  <si>
    <t>Tuesday172</t>
  </si>
  <si>
    <t>Wednesday172</t>
  </si>
  <si>
    <t>Thursday172</t>
  </si>
  <si>
    <t>friday172</t>
  </si>
  <si>
    <t>saturday172</t>
  </si>
  <si>
    <t>26 Pentecost c</t>
  </si>
  <si>
    <t>Matthew 15:29-30</t>
  </si>
  <si>
    <t>Sunday 173</t>
  </si>
  <si>
    <t>Monday173</t>
  </si>
  <si>
    <t>Tuesday173</t>
  </si>
  <si>
    <t>Wednesday173</t>
  </si>
  <si>
    <t>Thursday173</t>
  </si>
  <si>
    <t>friday173</t>
  </si>
  <si>
    <t>saturday173</t>
  </si>
  <si>
    <t>26 Pentecost (variable)</t>
  </si>
  <si>
    <t>27 Pentecost a</t>
  </si>
  <si>
    <t>Ezra 7:(1-10) 11-26,</t>
  </si>
  <si>
    <t>Ezra 7:27-28; 8:21-36,</t>
  </si>
  <si>
    <t>Ezra 9:1-15,</t>
  </si>
  <si>
    <t>Ezra 10:1-17,</t>
  </si>
  <si>
    <t>Nehemiah 9:1-15 (16-25),</t>
  </si>
  <si>
    <t>Nehemiah 9:26-38,</t>
  </si>
  <si>
    <t>Nehemiah 7:73b-8:3, 5-18,</t>
  </si>
  <si>
    <t>Habakkuk 1:1-4 (5-11) 12-2:1,</t>
  </si>
  <si>
    <t>Habakkuk 2:1-4, 9-20,</t>
  </si>
  <si>
    <t>Malachi 1:1, 6-14,</t>
  </si>
  <si>
    <t>Malachi 2:1-16,</t>
  </si>
  <si>
    <t>Malachi 3:1-12,</t>
  </si>
  <si>
    <t>Malachi 3:13-4:6,</t>
  </si>
  <si>
    <t>Sunday 174</t>
  </si>
  <si>
    <t>Monday174</t>
  </si>
  <si>
    <t>Tuesday174</t>
  </si>
  <si>
    <t>Wednesday174</t>
  </si>
  <si>
    <t>Thursday174</t>
  </si>
  <si>
    <t>friday174</t>
  </si>
  <si>
    <t>saturday174</t>
  </si>
  <si>
    <t>27 Pentecost b</t>
  </si>
  <si>
    <t>Acts 28:14b-23,</t>
  </si>
  <si>
    <t>Revelation 20:7-15,</t>
  </si>
  <si>
    <t>Revelation 21:1-8,</t>
  </si>
  <si>
    <t>Revelation 22:6-13,</t>
  </si>
  <si>
    <t>Revelation 22:14-21,</t>
  </si>
  <si>
    <t>Philippians 3:13-4:1,</t>
  </si>
  <si>
    <t>James 5:7-12,</t>
  </si>
  <si>
    <t>James 5:13-20,</t>
  </si>
  <si>
    <t>Sunday 175</t>
  </si>
  <si>
    <t>Monday175</t>
  </si>
  <si>
    <t>Tuesday175</t>
  </si>
  <si>
    <t>Wednesday175</t>
  </si>
  <si>
    <t>Thursday175</t>
  </si>
  <si>
    <t>friday175</t>
  </si>
  <si>
    <t>saturday175</t>
  </si>
  <si>
    <t>27 Pentecost c</t>
  </si>
  <si>
    <t>Luke 16:1-13</t>
  </si>
  <si>
    <t>Mattthew 23:13-24</t>
  </si>
  <si>
    <t>Sunday 176</t>
  </si>
  <si>
    <t>Monday176</t>
  </si>
  <si>
    <t>Tuesday176</t>
  </si>
  <si>
    <t>Wednesday176</t>
  </si>
  <si>
    <t>Thursday176</t>
  </si>
  <si>
    <t>friday176</t>
  </si>
  <si>
    <t>saturday176</t>
  </si>
  <si>
    <t>27 Pentecost (variable)</t>
  </si>
  <si>
    <t>Christ the King a</t>
  </si>
  <si>
    <t>Isaiah 19:19-25,</t>
  </si>
  <si>
    <t>Joel 3:1-2, 9-17,</t>
  </si>
  <si>
    <t>Nahum 1:1-13,</t>
  </si>
  <si>
    <t>Obediah 15-21,</t>
  </si>
  <si>
    <t>Zephaniah 3:1-13,</t>
  </si>
  <si>
    <t>Isaiah 24:14-23,</t>
  </si>
  <si>
    <t>Micah 7:11-20,</t>
  </si>
  <si>
    <t>Zechariah 9:9-16,</t>
  </si>
  <si>
    <t>Zechariah 10:1-12,</t>
  </si>
  <si>
    <t>Zechariah 11:4-17,</t>
  </si>
  <si>
    <t>Zechariah 12:1-10,</t>
  </si>
  <si>
    <t>Zechariah 13:1-9,</t>
  </si>
  <si>
    <t>Zechariah 14:1-11,</t>
  </si>
  <si>
    <t>Zechariah 14:12-21,</t>
  </si>
  <si>
    <t>Sunday 177</t>
  </si>
  <si>
    <t>Monday177</t>
  </si>
  <si>
    <t>Tuesday177</t>
  </si>
  <si>
    <t>Wednesday177</t>
  </si>
  <si>
    <t>Thursday177</t>
  </si>
  <si>
    <t>friday177</t>
  </si>
  <si>
    <t>saturday177</t>
  </si>
  <si>
    <t>Christ the King b</t>
  </si>
  <si>
    <t>Romans 15:5-13,</t>
  </si>
  <si>
    <t>1 Peter 2:11-25,</t>
  </si>
  <si>
    <t>1 Peter 3:13-22,</t>
  </si>
  <si>
    <t>Galatians 6:1-10,</t>
  </si>
  <si>
    <t>1 Corinthians 3:10-23,</t>
  </si>
  <si>
    <t>Romans 15:7-13,</t>
  </si>
  <si>
    <t>Sunday 178</t>
  </si>
  <si>
    <t>Monday178</t>
  </si>
  <si>
    <t>Tuesday178</t>
  </si>
  <si>
    <t>Wednesday178</t>
  </si>
  <si>
    <t>Thursday178</t>
  </si>
  <si>
    <t>friday178</t>
  </si>
  <si>
    <t>saturday178</t>
  </si>
  <si>
    <t>Christ the King  c</t>
  </si>
  <si>
    <t>Matthew 21:1-13</t>
  </si>
  <si>
    <t>Luke 19:1-10</t>
  </si>
  <si>
    <t>Sunday 179</t>
  </si>
  <si>
    <t>Monday179</t>
  </si>
  <si>
    <t>Tuesday179</t>
  </si>
  <si>
    <t>Wednesday179</t>
  </si>
  <si>
    <t>Thursday179</t>
  </si>
  <si>
    <t>friday179</t>
  </si>
  <si>
    <t>saturday179</t>
  </si>
  <si>
    <t>Last Pentecost</t>
  </si>
  <si>
    <t>(Christ the King)</t>
  </si>
  <si>
    <t>LexCalx2 Church Calendar and Lextionary Calculator 2013</t>
  </si>
  <si>
    <t xml:space="preserve">by David J. Foerster  </t>
  </si>
  <si>
    <t>foersdiaz@aol.com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</si>
</sst>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@"/>
    <numFmt numFmtId="167" formatCode="D\-MMM"/>
    <numFmt numFmtId="168" formatCode="_(* #,##0.00_);_(* \(#,##0.00\);_(* \-??_);_(@_)"/>
  </numFmts>
  <fonts count="18">
    <font>
      <sz val="10"/>
      <name val="Arial"/>
      <family val="2"/>
    </font>
    <font>
      <b/>
      <sz val="12"/>
      <color indexed="8"/>
      <name val="Geneva"/>
      <family val="2"/>
    </font>
    <font>
      <sz val="9"/>
      <color indexed="8"/>
      <name val="Geneva"/>
      <family val="2"/>
    </font>
    <font>
      <sz val="12"/>
      <color indexed="8"/>
      <name val="Times New Roman"/>
      <family val="1"/>
    </font>
    <font>
      <b/>
      <sz val="9"/>
      <color indexed="8"/>
      <name val="Geneva"/>
      <family val="2"/>
    </font>
    <font>
      <sz val="12"/>
      <name val="Arial"/>
      <family val="2"/>
    </font>
    <font>
      <sz val="16"/>
      <color indexed="21"/>
      <name val="Arial"/>
      <family val="2"/>
    </font>
    <font>
      <u val="single"/>
      <sz val="16"/>
      <color indexed="12"/>
      <name val="Arial"/>
      <family val="2"/>
    </font>
    <font>
      <u val="single"/>
      <sz val="7.5"/>
      <color indexed="12"/>
      <name val="Arial"/>
      <family val="2"/>
    </font>
    <font>
      <sz val="10"/>
      <color indexed="12"/>
      <name val="Arial"/>
      <family val="2"/>
    </font>
    <font>
      <u val="single"/>
      <sz val="12"/>
      <color indexed="57"/>
      <name val="Times New Roman"/>
      <family val="1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Geneva"/>
      <family val="2"/>
    </font>
    <font>
      <sz val="12"/>
      <name val=""/>
      <family val="1"/>
    </font>
    <font>
      <sz val="10"/>
      <color indexed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ck">
        <color indexed="8"/>
      </left>
      <right style="thick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medium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thick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ck">
        <color indexed="8"/>
      </left>
      <right style="thick">
        <color indexed="8"/>
      </right>
      <top>
        <color indexed="63"/>
      </top>
      <bottom style="thick">
        <color indexed="8"/>
      </bottom>
      <diagonal style="thin">
        <color indexed="8"/>
      </diagonal>
    </border>
    <border diagonalUp="1">
      <left style="thick">
        <color indexed="8"/>
      </left>
      <right style="medium">
        <color indexed="8"/>
      </right>
      <top>
        <color indexed="63"/>
      </top>
      <bottom style="thick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medium">
        <color indexed="8"/>
      </left>
      <right style="thick">
        <color indexed="8"/>
      </right>
      <top style="thick">
        <color indexed="8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thick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 diagonalUp="1">
      <left style="medium">
        <color indexed="8"/>
      </left>
      <right style="thick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0" fillId="0" borderId="0">
      <alignment/>
      <protection/>
    </xf>
  </cellStyleXfs>
  <cellXfs count="329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2" fillId="2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4" fillId="0" borderId="0" xfId="0" applyFont="1" applyAlignment="1">
      <alignment horizontal="left"/>
    </xf>
    <xf numFmtId="164" fontId="2" fillId="0" borderId="0" xfId="0" applyFont="1" applyAlignment="1">
      <alignment horizontal="right" vertical="top"/>
    </xf>
    <xf numFmtId="165" fontId="0" fillId="0" borderId="0" xfId="0" applyNumberFormat="1" applyFill="1" applyAlignment="1">
      <alignment horizontal="left"/>
    </xf>
    <xf numFmtId="164" fontId="0" fillId="0" borderId="3" xfId="0" applyBorder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 vertical="top"/>
    </xf>
    <xf numFmtId="164" fontId="4" fillId="0" borderId="0" xfId="0" applyFont="1" applyAlignment="1">
      <alignment horizontal="left" vertical="top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6" fillId="0" borderId="0" xfId="0" applyFont="1" applyAlignment="1">
      <alignment horizontal="center" vertical="top" wrapText="1"/>
    </xf>
    <xf numFmtId="164" fontId="7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164" fontId="7" fillId="0" borderId="0" xfId="20" applyNumberFormat="1" applyFont="1" applyFill="1" applyBorder="1" applyAlignment="1" applyProtection="1">
      <alignment wrapText="1"/>
      <protection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right" wrapText="1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0" xfId="0" applyAlignment="1">
      <alignment horizontal="left" vertical="top"/>
    </xf>
    <xf numFmtId="164" fontId="4" fillId="3" borderId="6" xfId="0" applyFont="1" applyFill="1" applyBorder="1" applyAlignment="1">
      <alignment horizontal="center" vertical="top"/>
    </xf>
    <xf numFmtId="164" fontId="4" fillId="3" borderId="7" xfId="0" applyFont="1" applyFill="1" applyBorder="1" applyAlignment="1">
      <alignment horizontal="center" vertical="top"/>
    </xf>
    <xf numFmtId="164" fontId="4" fillId="2" borderId="8" xfId="0" applyFont="1" applyFill="1" applyBorder="1" applyAlignment="1">
      <alignment horizontal="center" vertical="top"/>
    </xf>
    <xf numFmtId="164" fontId="4" fillId="0" borderId="8" xfId="0" applyNumberFormat="1" applyFont="1" applyBorder="1" applyAlignment="1">
      <alignment horizontal="center" vertical="top"/>
    </xf>
    <xf numFmtId="164" fontId="11" fillId="0" borderId="9" xfId="0" applyFont="1" applyFill="1" applyBorder="1" applyAlignment="1">
      <alignment horizontal="center"/>
    </xf>
    <xf numFmtId="164" fontId="11" fillId="0" borderId="10" xfId="0" applyFont="1" applyFill="1" applyBorder="1" applyAlignment="1">
      <alignment horizontal="center"/>
    </xf>
    <xf numFmtId="164" fontId="11" fillId="4" borderId="10" xfId="0" applyFont="1" applyFill="1" applyBorder="1" applyAlignment="1">
      <alignment horizontal="center"/>
    </xf>
    <xf numFmtId="164" fontId="11" fillId="0" borderId="11" xfId="0" applyFont="1" applyFill="1" applyBorder="1" applyAlignment="1">
      <alignment horizontal="center"/>
    </xf>
    <xf numFmtId="164" fontId="11" fillId="0" borderId="9" xfId="0" applyFont="1" applyFill="1" applyBorder="1" applyAlignment="1">
      <alignment horizontal="left"/>
    </xf>
    <xf numFmtId="164" fontId="4" fillId="0" borderId="12" xfId="0" applyFont="1" applyBorder="1" applyAlignment="1">
      <alignment horizontal="right" vertical="top"/>
    </xf>
    <xf numFmtId="164" fontId="11" fillId="0" borderId="0" xfId="0" applyFont="1" applyFill="1" applyBorder="1" applyAlignment="1">
      <alignment horizontal="left"/>
    </xf>
    <xf numFmtId="165" fontId="4" fillId="0" borderId="0" xfId="0" applyNumberFormat="1" applyFont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164" fontId="0" fillId="0" borderId="0" xfId="0" applyBorder="1" applyAlignment="1">
      <alignment horizontal="left"/>
    </xf>
    <xf numFmtId="164" fontId="11" fillId="0" borderId="8" xfId="0" applyFont="1" applyFill="1" applyBorder="1" applyAlignment="1">
      <alignment horizontal="left"/>
    </xf>
    <xf numFmtId="164" fontId="0" fillId="0" borderId="13" xfId="0" applyFill="1" applyBorder="1" applyAlignment="1" applyProtection="1">
      <alignment/>
      <protection locked="0"/>
    </xf>
    <xf numFmtId="164" fontId="0" fillId="3" borderId="14" xfId="0" applyFill="1" applyBorder="1" applyAlignment="1">
      <alignment horizontal="center" vertical="top"/>
    </xf>
    <xf numFmtId="165" fontId="2" fillId="2" borderId="15" xfId="0" applyNumberFormat="1" applyFont="1" applyFill="1" applyBorder="1" applyAlignment="1">
      <alignment horizontal="center"/>
    </xf>
    <xf numFmtId="164" fontId="0" fillId="0" borderId="16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 horizontal="left"/>
    </xf>
    <xf numFmtId="165" fontId="2" fillId="0" borderId="20" xfId="0" applyNumberFormat="1" applyFont="1" applyFill="1" applyBorder="1" applyAlignment="1">
      <alignment horizontal="right" vertical="top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21" xfId="0" applyBorder="1" applyAlignment="1">
      <alignment horizontal="left"/>
    </xf>
    <xf numFmtId="164" fontId="0" fillId="0" borderId="22" xfId="0" applyFont="1" applyBorder="1" applyAlignment="1">
      <alignment horizontal="left"/>
    </xf>
    <xf numFmtId="164" fontId="0" fillId="5" borderId="0" xfId="0" applyFont="1" applyFill="1" applyBorder="1" applyAlignment="1">
      <alignment horizontal="left"/>
    </xf>
    <xf numFmtId="164" fontId="0" fillId="5" borderId="22" xfId="0" applyFont="1" applyFill="1" applyBorder="1" applyAlignment="1">
      <alignment horizontal="left"/>
    </xf>
    <xf numFmtId="164" fontId="0" fillId="0" borderId="3" xfId="0" applyFont="1" applyFill="1" applyBorder="1" applyAlignment="1">
      <alignment horizontal="left"/>
    </xf>
    <xf numFmtId="164" fontId="0" fillId="6" borderId="0" xfId="0" applyFont="1" applyFill="1" applyBorder="1" applyAlignment="1">
      <alignment horizontal="left"/>
    </xf>
    <xf numFmtId="164" fontId="0" fillId="6" borderId="22" xfId="0" applyFont="1" applyFill="1" applyBorder="1" applyAlignment="1">
      <alignment horizontal="left"/>
    </xf>
    <xf numFmtId="164" fontId="0" fillId="7" borderId="0" xfId="0" applyFill="1" applyBorder="1" applyAlignment="1">
      <alignment horizontal="left"/>
    </xf>
    <xf numFmtId="164" fontId="0" fillId="7" borderId="22" xfId="0" applyFont="1" applyFill="1" applyBorder="1" applyAlignment="1">
      <alignment horizontal="left"/>
    </xf>
    <xf numFmtId="164" fontId="0" fillId="3" borderId="23" xfId="0" applyFill="1" applyBorder="1" applyAlignment="1">
      <alignment/>
    </xf>
    <xf numFmtId="164" fontId="0" fillId="3" borderId="0" xfId="0" applyFill="1" applyBorder="1" applyAlignment="1">
      <alignment/>
    </xf>
    <xf numFmtId="164" fontId="2" fillId="2" borderId="22" xfId="0" applyFont="1" applyFill="1" applyBorder="1" applyAlignment="1">
      <alignment horizontal="center"/>
    </xf>
    <xf numFmtId="164" fontId="0" fillId="0" borderId="21" xfId="0" applyNumberForma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left"/>
    </xf>
    <xf numFmtId="164" fontId="2" fillId="0" borderId="26" xfId="0" applyFont="1" applyFill="1" applyBorder="1" applyAlignment="1">
      <alignment horizontal="right" vertical="top"/>
    </xf>
    <xf numFmtId="164" fontId="0" fillId="3" borderId="6" xfId="0" applyFont="1" applyFill="1" applyBorder="1" applyAlignment="1">
      <alignment/>
    </xf>
    <xf numFmtId="164" fontId="0" fillId="3" borderId="27" xfId="0" applyFont="1" applyFill="1" applyBorder="1" applyAlignment="1">
      <alignment horizontal="center" vertical="top"/>
    </xf>
    <xf numFmtId="164" fontId="2" fillId="2" borderId="28" xfId="0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3" borderId="31" xfId="0" applyFont="1" applyFill="1" applyBorder="1" applyAlignment="1">
      <alignment horizontal="right" vertical="top"/>
    </xf>
    <xf numFmtId="164" fontId="0" fillId="8" borderId="8" xfId="0" applyFill="1" applyBorder="1" applyAlignment="1" applyProtection="1">
      <alignment horizontal="center" vertical="top"/>
      <protection locked="0"/>
    </xf>
    <xf numFmtId="164" fontId="0" fillId="0" borderId="17" xfId="0" applyNumberFormat="1" applyFill="1" applyBorder="1" applyAlignment="1">
      <alignment/>
    </xf>
    <xf numFmtId="164" fontId="0" fillId="0" borderId="15" xfId="0" applyFont="1" applyBorder="1" applyAlignment="1">
      <alignment horizontal="left"/>
    </xf>
    <xf numFmtId="164" fontId="0" fillId="5" borderId="32" xfId="0" applyFont="1" applyFill="1" applyBorder="1" applyAlignment="1">
      <alignment horizontal="left"/>
    </xf>
    <xf numFmtId="164" fontId="0" fillId="5" borderId="15" xfId="0" applyFont="1" applyFill="1" applyBorder="1" applyAlignment="1">
      <alignment horizontal="left"/>
    </xf>
    <xf numFmtId="164" fontId="0" fillId="6" borderId="32" xfId="0" applyFont="1" applyFill="1" applyBorder="1" applyAlignment="1">
      <alignment horizontal="left"/>
    </xf>
    <xf numFmtId="164" fontId="0" fillId="6" borderId="15" xfId="0" applyFont="1" applyFill="1" applyBorder="1" applyAlignment="1">
      <alignment horizontal="left"/>
    </xf>
    <xf numFmtId="164" fontId="0" fillId="3" borderId="0" xfId="0" applyFill="1" applyAlignment="1">
      <alignment/>
    </xf>
    <xf numFmtId="164" fontId="0" fillId="0" borderId="25" xfId="0" applyNumberFormat="1" applyFont="1" applyFill="1" applyBorder="1" applyAlignment="1">
      <alignment/>
    </xf>
    <xf numFmtId="164" fontId="0" fillId="3" borderId="33" xfId="0" applyFont="1" applyFill="1" applyBorder="1" applyAlignment="1">
      <alignment/>
    </xf>
    <xf numFmtId="164" fontId="0" fillId="3" borderId="0" xfId="0" applyFill="1" applyBorder="1" applyAlignment="1">
      <alignment horizontal="center" vertical="top"/>
    </xf>
    <xf numFmtId="164" fontId="0" fillId="0" borderId="34" xfId="0" applyNumberForma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 horizontal="left"/>
    </xf>
    <xf numFmtId="164" fontId="2" fillId="0" borderId="35" xfId="0" applyFont="1" applyFill="1" applyBorder="1" applyAlignment="1">
      <alignment horizontal="right" vertical="top"/>
    </xf>
    <xf numFmtId="164" fontId="0" fillId="0" borderId="28" xfId="0" applyFont="1" applyBorder="1" applyAlignment="1">
      <alignment horizontal="left"/>
    </xf>
    <xf numFmtId="164" fontId="0" fillId="5" borderId="36" xfId="0" applyFont="1" applyFill="1" applyBorder="1" applyAlignment="1">
      <alignment horizontal="left"/>
    </xf>
    <xf numFmtId="164" fontId="0" fillId="5" borderId="28" xfId="0" applyFont="1" applyFill="1" applyBorder="1" applyAlignment="1">
      <alignment horizontal="left"/>
    </xf>
    <xf numFmtId="164" fontId="0" fillId="6" borderId="36" xfId="0" applyFont="1" applyFill="1" applyBorder="1" applyAlignment="1">
      <alignment horizontal="left"/>
    </xf>
    <xf numFmtId="164" fontId="0" fillId="6" borderId="28" xfId="0" applyFont="1" applyFill="1" applyBorder="1" applyAlignment="1">
      <alignment horizontal="left"/>
    </xf>
    <xf numFmtId="165" fontId="0" fillId="3" borderId="14" xfId="0" applyNumberFormat="1" applyFill="1" applyBorder="1" applyAlignment="1">
      <alignment horizontal="center" vertical="top"/>
    </xf>
    <xf numFmtId="164" fontId="0" fillId="0" borderId="15" xfId="0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8" xfId="0" applyFill="1" applyBorder="1" applyAlignment="1">
      <alignment/>
    </xf>
    <xf numFmtId="165" fontId="2" fillId="0" borderId="26" xfId="0" applyNumberFormat="1" applyFont="1" applyFill="1" applyBorder="1" applyAlignment="1">
      <alignment horizontal="right" vertical="top"/>
    </xf>
    <xf numFmtId="164" fontId="0" fillId="0" borderId="22" xfId="0" applyFill="1" applyBorder="1" applyAlignment="1">
      <alignment/>
    </xf>
    <xf numFmtId="164" fontId="0" fillId="0" borderId="25" xfId="0" applyFill="1" applyBorder="1" applyAlignment="1">
      <alignment/>
    </xf>
    <xf numFmtId="164" fontId="0" fillId="0" borderId="28" xfId="0" applyFill="1" applyBorder="1" applyAlignment="1">
      <alignment/>
    </xf>
    <xf numFmtId="164" fontId="0" fillId="0" borderId="30" xfId="0" applyFill="1" applyBorder="1" applyAlignment="1">
      <alignment/>
    </xf>
    <xf numFmtId="164" fontId="0" fillId="0" borderId="37" xfId="0" applyFill="1" applyBorder="1" applyAlignment="1">
      <alignment/>
    </xf>
    <xf numFmtId="164" fontId="0" fillId="2" borderId="18" xfId="0" applyNumberFormat="1" applyFont="1" applyFill="1" applyBorder="1" applyAlignment="1">
      <alignment/>
    </xf>
    <xf numFmtId="164" fontId="0" fillId="6" borderId="16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/>
    </xf>
    <xf numFmtId="164" fontId="0" fillId="2" borderId="25" xfId="0" applyNumberFormat="1" applyFont="1" applyFill="1" applyBorder="1" applyAlignment="1">
      <alignment/>
    </xf>
    <xf numFmtId="164" fontId="0" fillId="6" borderId="21" xfId="0" applyFont="1" applyFill="1" applyBorder="1" applyAlignment="1">
      <alignment horizontal="left"/>
    </xf>
    <xf numFmtId="164" fontId="0" fillId="0" borderId="38" xfId="0" applyNumberFormat="1" applyFont="1" applyFill="1" applyBorder="1" applyAlignment="1">
      <alignment/>
    </xf>
    <xf numFmtId="164" fontId="0" fillId="2" borderId="30" xfId="0" applyNumberFormat="1" applyFont="1" applyFill="1" applyBorder="1" applyAlignment="1">
      <alignment/>
    </xf>
    <xf numFmtId="164" fontId="0" fillId="6" borderId="3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 vertical="top"/>
    </xf>
    <xf numFmtId="164" fontId="0" fillId="0" borderId="15" xfId="0" applyNumberFormat="1" applyFill="1" applyBorder="1" applyAlignment="1">
      <alignment/>
    </xf>
    <xf numFmtId="164" fontId="4" fillId="9" borderId="15" xfId="0" applyNumberFormat="1" applyFont="1" applyFill="1" applyBorder="1" applyAlignment="1">
      <alignment/>
    </xf>
    <xf numFmtId="166" fontId="4" fillId="9" borderId="17" xfId="0" applyNumberFormat="1" applyFont="1" applyFill="1" applyBorder="1" applyAlignment="1">
      <alignment/>
    </xf>
    <xf numFmtId="166" fontId="4" fillId="9" borderId="18" xfId="0" applyNumberFormat="1" applyFont="1" applyFill="1" applyBorder="1" applyAlignment="1">
      <alignment/>
    </xf>
    <xf numFmtId="164" fontId="4" fillId="9" borderId="16" xfId="0" applyNumberFormat="1" applyFont="1" applyFill="1" applyBorder="1" applyAlignment="1">
      <alignment horizontal="left"/>
    </xf>
    <xf numFmtId="164" fontId="4" fillId="0" borderId="22" xfId="0" applyFont="1" applyBorder="1" applyAlignment="1">
      <alignment horizontal="left"/>
    </xf>
    <xf numFmtId="166" fontId="4" fillId="5" borderId="17" xfId="0" applyNumberFormat="1" applyFont="1" applyFill="1" applyBorder="1" applyAlignment="1">
      <alignment horizontal="left"/>
    </xf>
    <xf numFmtId="166" fontId="4" fillId="5" borderId="39" xfId="0" applyNumberFormat="1" applyFont="1" applyFill="1" applyBorder="1" applyAlignment="1">
      <alignment horizontal="left"/>
    </xf>
    <xf numFmtId="166" fontId="4" fillId="5" borderId="18" xfId="0" applyNumberFormat="1" applyFont="1" applyFill="1" applyBorder="1" applyAlignment="1">
      <alignment horizontal="left"/>
    </xf>
    <xf numFmtId="166" fontId="4" fillId="6" borderId="37" xfId="0" applyNumberFormat="1" applyFont="1" applyFill="1" applyBorder="1" applyAlignment="1">
      <alignment horizontal="left"/>
    </xf>
    <xf numFmtId="166" fontId="4" fillId="6" borderId="15" xfId="0" applyNumberFormat="1" applyFont="1" applyFill="1" applyBorder="1" applyAlignment="1">
      <alignment horizontal="left"/>
    </xf>
    <xf numFmtId="166" fontId="4" fillId="6" borderId="39" xfId="0" applyNumberFormat="1" applyFont="1" applyFill="1" applyBorder="1" applyAlignment="1">
      <alignment horizontal="left"/>
    </xf>
    <xf numFmtId="166" fontId="4" fillId="6" borderId="18" xfId="0" applyNumberFormat="1" applyFont="1" applyFill="1" applyBorder="1" applyAlignment="1">
      <alignment horizontal="left"/>
    </xf>
    <xf numFmtId="164" fontId="0" fillId="3" borderId="14" xfId="0" applyNumberFormat="1" applyFill="1" applyBorder="1" applyAlignment="1">
      <alignment horizontal="center" vertical="top"/>
    </xf>
    <xf numFmtId="165" fontId="2" fillId="2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/>
    </xf>
    <xf numFmtId="164" fontId="4" fillId="9" borderId="22" xfId="0" applyNumberFormat="1" applyFont="1" applyFill="1" applyBorder="1" applyAlignment="1">
      <alignment/>
    </xf>
    <xf numFmtId="164" fontId="0" fillId="9" borderId="24" xfId="0" applyNumberFormat="1" applyFont="1" applyFill="1" applyBorder="1" applyAlignment="1">
      <alignment/>
    </xf>
    <xf numFmtId="164" fontId="0" fillId="9" borderId="25" xfId="0" applyNumberFormat="1" applyFont="1" applyFill="1" applyBorder="1" applyAlignment="1">
      <alignment/>
    </xf>
    <xf numFmtId="164" fontId="4" fillId="9" borderId="21" xfId="0" applyNumberFormat="1" applyFont="1" applyFill="1" applyBorder="1" applyAlignment="1">
      <alignment horizontal="left"/>
    </xf>
    <xf numFmtId="164" fontId="0" fillId="5" borderId="21" xfId="0" applyFont="1" applyFill="1" applyBorder="1" applyAlignment="1">
      <alignment horizontal="left"/>
    </xf>
    <xf numFmtId="164" fontId="4" fillId="9" borderId="28" xfId="0" applyNumberFormat="1" applyFont="1" applyFill="1" applyBorder="1" applyAlignment="1">
      <alignment/>
    </xf>
    <xf numFmtId="164" fontId="0" fillId="9" borderId="29" xfId="0" applyNumberFormat="1" applyFont="1" applyFill="1" applyBorder="1" applyAlignment="1">
      <alignment/>
    </xf>
    <xf numFmtId="164" fontId="0" fillId="9" borderId="30" xfId="0" applyNumberFormat="1" applyFont="1" applyFill="1" applyBorder="1" applyAlignment="1">
      <alignment/>
    </xf>
    <xf numFmtId="164" fontId="4" fillId="9" borderId="17" xfId="0" applyFont="1" applyFill="1" applyBorder="1" applyAlignment="1">
      <alignment/>
    </xf>
    <xf numFmtId="164" fontId="4" fillId="5" borderId="0" xfId="0" applyFont="1" applyFill="1" applyBorder="1" applyAlignment="1">
      <alignment horizontal="left"/>
    </xf>
    <xf numFmtId="164" fontId="4" fillId="6" borderId="0" xfId="0" applyFont="1" applyFill="1" applyBorder="1" applyAlignment="1">
      <alignment horizontal="left"/>
    </xf>
    <xf numFmtId="164" fontId="0" fillId="0" borderId="0" xfId="21" applyAlignment="1">
      <alignment horizontal="center"/>
      <protection/>
    </xf>
    <xf numFmtId="165" fontId="2" fillId="2" borderId="28" xfId="0" applyNumberFormat="1" applyFont="1" applyFill="1" applyBorder="1" applyAlignment="1">
      <alignment horizontal="center"/>
    </xf>
    <xf numFmtId="164" fontId="4" fillId="9" borderId="34" xfId="0" applyNumberFormat="1" applyFont="1" applyFill="1" applyBorder="1" applyAlignment="1">
      <alignment horizontal="left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center" vertical="top"/>
    </xf>
    <xf numFmtId="164" fontId="4" fillId="9" borderId="24" xfId="0" applyNumberFormat="1" applyFont="1" applyFill="1" applyBorder="1" applyAlignment="1">
      <alignment/>
    </xf>
    <xf numFmtId="166" fontId="4" fillId="9" borderId="1" xfId="0" applyNumberFormat="1" applyFont="1" applyFill="1" applyBorder="1" applyAlignment="1">
      <alignment/>
    </xf>
    <xf numFmtId="166" fontId="4" fillId="9" borderId="25" xfId="0" applyNumberFormat="1" applyFont="1" applyFill="1" applyBorder="1" applyAlignment="1">
      <alignment/>
    </xf>
    <xf numFmtId="164" fontId="0" fillId="0" borderId="31" xfId="0" applyFont="1" applyFill="1" applyBorder="1" applyAlignment="1">
      <alignment horizontal="left"/>
    </xf>
    <xf numFmtId="164" fontId="4" fillId="0" borderId="15" xfId="0" applyFont="1" applyBorder="1" applyAlignment="1">
      <alignment horizontal="left"/>
    </xf>
    <xf numFmtId="164" fontId="4" fillId="5" borderId="32" xfId="0" applyFont="1" applyFill="1" applyBorder="1" applyAlignment="1">
      <alignment horizontal="left"/>
    </xf>
    <xf numFmtId="164" fontId="4" fillId="6" borderId="32" xfId="0" applyFont="1" applyFill="1" applyBorder="1" applyAlignment="1">
      <alignment horizontal="left"/>
    </xf>
    <xf numFmtId="167" fontId="0" fillId="9" borderId="25" xfId="0" applyNumberFormat="1" applyFont="1" applyFill="1" applyBorder="1" applyAlignment="1">
      <alignment/>
    </xf>
    <xf numFmtId="165" fontId="0" fillId="0" borderId="40" xfId="0" applyNumberFormat="1" applyFill="1" applyBorder="1" applyAlignment="1">
      <alignment horizontal="left" vertical="top"/>
    </xf>
    <xf numFmtId="164" fontId="0" fillId="0" borderId="28" xfId="0" applyNumberFormat="1" applyFill="1" applyBorder="1" applyAlignment="1">
      <alignment/>
    </xf>
    <xf numFmtId="164" fontId="0" fillId="9" borderId="17" xfId="0" applyNumberFormat="1" applyFont="1" applyFill="1" applyBorder="1" applyAlignment="1">
      <alignment/>
    </xf>
    <xf numFmtId="164" fontId="0" fillId="9" borderId="39" xfId="0" applyNumberFormat="1" applyFont="1" applyFill="1" applyBorder="1" applyAlignment="1">
      <alignment/>
    </xf>
    <xf numFmtId="164" fontId="0" fillId="9" borderId="18" xfId="0" applyNumberFormat="1" applyFont="1" applyFill="1" applyBorder="1" applyAlignment="1">
      <alignment/>
    </xf>
    <xf numFmtId="164" fontId="0" fillId="9" borderId="18" xfId="0" applyFill="1" applyBorder="1" applyAlignment="1">
      <alignment/>
    </xf>
    <xf numFmtId="164" fontId="0" fillId="9" borderId="1" xfId="0" applyNumberFormat="1" applyFont="1" applyFill="1" applyBorder="1" applyAlignment="1">
      <alignment/>
    </xf>
    <xf numFmtId="164" fontId="0" fillId="9" borderId="25" xfId="0" applyFill="1" applyBorder="1" applyAlignment="1">
      <alignment/>
    </xf>
    <xf numFmtId="164" fontId="0" fillId="9" borderId="38" xfId="0" applyNumberFormat="1" applyFont="1" applyFill="1" applyBorder="1" applyAlignment="1">
      <alignment/>
    </xf>
    <xf numFmtId="164" fontId="0" fillId="9" borderId="30" xfId="0" applyFill="1" applyBorder="1" applyAlignment="1">
      <alignment/>
    </xf>
    <xf numFmtId="164" fontId="0" fillId="0" borderId="0" xfId="0" applyFont="1" applyFill="1" applyAlignment="1">
      <alignment horizontal="left"/>
    </xf>
    <xf numFmtId="164" fontId="0" fillId="2" borderId="17" xfId="0" applyNumberFormat="1" applyFont="1" applyFill="1" applyBorder="1" applyAlignment="1">
      <alignment/>
    </xf>
    <xf numFmtId="164" fontId="0" fillId="2" borderId="18" xfId="0" applyFill="1" applyBorder="1" applyAlignment="1">
      <alignment/>
    </xf>
    <xf numFmtId="164" fontId="0" fillId="2" borderId="24" xfId="0" applyNumberFormat="1" applyFont="1" applyFill="1" applyBorder="1" applyAlignment="1">
      <alignment/>
    </xf>
    <xf numFmtId="164" fontId="0" fillId="2" borderId="25" xfId="0" applyFill="1" applyBorder="1" applyAlignment="1">
      <alignment/>
    </xf>
    <xf numFmtId="164" fontId="0" fillId="2" borderId="29" xfId="0" applyNumberFormat="1" applyFont="1" applyFill="1" applyBorder="1" applyAlignment="1">
      <alignment/>
    </xf>
    <xf numFmtId="164" fontId="0" fillId="2" borderId="30" xfId="0" applyFill="1" applyBorder="1" applyAlignment="1">
      <alignment/>
    </xf>
    <xf numFmtId="164" fontId="0" fillId="0" borderId="0" xfId="0" applyFill="1" applyAlignment="1">
      <alignment/>
    </xf>
    <xf numFmtId="164" fontId="0" fillId="0" borderId="39" xfId="0" applyNumberFormat="1" applyFont="1" applyFill="1" applyBorder="1" applyAlignment="1">
      <alignment horizontal="left"/>
    </xf>
    <xf numFmtId="164" fontId="0" fillId="0" borderId="22" xfId="0" applyFont="1" applyFill="1" applyBorder="1" applyAlignment="1">
      <alignment horizontal="left"/>
    </xf>
    <xf numFmtId="164" fontId="0" fillId="6" borderId="3" xfId="0" applyFont="1" applyFill="1" applyBorder="1" applyAlignment="1">
      <alignment horizontal="left"/>
    </xf>
    <xf numFmtId="165" fontId="2" fillId="0" borderId="22" xfId="0" applyNumberFormat="1" applyFont="1" applyFill="1" applyBorder="1" applyAlignment="1">
      <alignment horizontal="left"/>
    </xf>
    <xf numFmtId="164" fontId="0" fillId="0" borderId="21" xfId="0" applyFill="1" applyBorder="1" applyAlignment="1">
      <alignment horizontal="left"/>
    </xf>
    <xf numFmtId="164" fontId="4" fillId="0" borderId="16" xfId="0" applyFont="1" applyFill="1" applyBorder="1" applyAlignment="1">
      <alignment horizontal="left"/>
    </xf>
    <xf numFmtId="164" fontId="0" fillId="0" borderId="41" xfId="0" applyFill="1" applyBorder="1" applyAlignment="1">
      <alignment horizontal="left"/>
    </xf>
    <xf numFmtId="164" fontId="0" fillId="0" borderId="42" xfId="0" applyFont="1" applyFill="1" applyBorder="1" applyAlignment="1">
      <alignment horizontal="left"/>
    </xf>
    <xf numFmtId="164" fontId="0" fillId="0" borderId="43" xfId="0" applyFont="1" applyFill="1" applyBorder="1" applyAlignment="1">
      <alignment horizontal="left"/>
    </xf>
    <xf numFmtId="165" fontId="2" fillId="0" borderId="11" xfId="0" applyNumberFormat="1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left"/>
    </xf>
    <xf numFmtId="164" fontId="2" fillId="0" borderId="22" xfId="0" applyFont="1" applyFill="1" applyBorder="1" applyAlignment="1">
      <alignment horizontal="left"/>
    </xf>
    <xf numFmtId="164" fontId="4" fillId="0" borderId="21" xfId="0" applyFont="1" applyFill="1" applyBorder="1" applyAlignment="1">
      <alignment horizontal="left"/>
    </xf>
    <xf numFmtId="164" fontId="0" fillId="0" borderId="44" xfId="0" applyFill="1" applyBorder="1" applyAlignment="1">
      <alignment horizontal="left"/>
    </xf>
    <xf numFmtId="164" fontId="0" fillId="0" borderId="45" xfId="0" applyFont="1" applyFill="1" applyBorder="1" applyAlignment="1">
      <alignment horizontal="left"/>
    </xf>
    <xf numFmtId="164" fontId="0" fillId="0" borderId="46" xfId="0" applyFont="1" applyFill="1" applyBorder="1" applyAlignment="1">
      <alignment horizontal="left"/>
    </xf>
    <xf numFmtId="164" fontId="2" fillId="0" borderId="25" xfId="0" applyFont="1" applyFill="1" applyBorder="1" applyAlignment="1">
      <alignment horizontal="left" vertical="top"/>
    </xf>
    <xf numFmtId="164" fontId="0" fillId="0" borderId="29" xfId="0" applyFill="1" applyBorder="1" applyAlignment="1">
      <alignment/>
    </xf>
    <xf numFmtId="164" fontId="0" fillId="0" borderId="38" xfId="0" applyNumberFormat="1" applyFont="1" applyFill="1" applyBorder="1" applyAlignment="1">
      <alignment horizontal="left"/>
    </xf>
    <xf numFmtId="164" fontId="2" fillId="0" borderId="28" xfId="0" applyFont="1" applyFill="1" applyBorder="1" applyAlignment="1">
      <alignment horizontal="left"/>
    </xf>
    <xf numFmtId="164" fontId="0" fillId="0" borderId="34" xfId="0" applyFill="1" applyBorder="1" applyAlignment="1">
      <alignment horizontal="left"/>
    </xf>
    <xf numFmtId="164" fontId="4" fillId="0" borderId="34" xfId="0" applyFont="1" applyFill="1" applyBorder="1" applyAlignment="1">
      <alignment horizontal="left"/>
    </xf>
    <xf numFmtId="164" fontId="0" fillId="0" borderId="47" xfId="0" applyFill="1" applyBorder="1" applyAlignment="1">
      <alignment horizontal="left"/>
    </xf>
    <xf numFmtId="164" fontId="0" fillId="0" borderId="48" xfId="0" applyFill="1" applyBorder="1" applyAlignment="1">
      <alignment horizontal="left"/>
    </xf>
    <xf numFmtId="164" fontId="0" fillId="0" borderId="49" xfId="0" applyFont="1" applyFill="1" applyBorder="1" applyAlignment="1">
      <alignment horizontal="left"/>
    </xf>
    <xf numFmtId="164" fontId="2" fillId="0" borderId="50" xfId="0" applyFont="1" applyFill="1" applyBorder="1" applyAlignment="1">
      <alignment horizontal="left" vertical="top"/>
    </xf>
    <xf numFmtId="164" fontId="0" fillId="6" borderId="37" xfId="0" applyFont="1" applyFill="1" applyBorder="1" applyAlignment="1">
      <alignment horizontal="left"/>
    </xf>
    <xf numFmtId="164" fontId="0" fillId="0" borderId="16" xfId="0" applyFill="1" applyBorder="1" applyAlignment="1">
      <alignment horizontal="left"/>
    </xf>
    <xf numFmtId="164" fontId="0" fillId="0" borderId="51" xfId="0" applyFont="1" applyFill="1" applyBorder="1" applyAlignment="1">
      <alignment horizontal="left"/>
    </xf>
    <xf numFmtId="165" fontId="2" fillId="0" borderId="25" xfId="0" applyNumberFormat="1" applyFont="1" applyFill="1" applyBorder="1" applyAlignment="1">
      <alignment horizontal="left" vertical="top"/>
    </xf>
    <xf numFmtId="164" fontId="0" fillId="0" borderId="26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left"/>
    </xf>
    <xf numFmtId="164" fontId="0" fillId="0" borderId="52" xfId="0" applyFont="1" applyFill="1" applyBorder="1" applyAlignment="1">
      <alignment horizontal="left"/>
    </xf>
    <xf numFmtId="164" fontId="0" fillId="0" borderId="53" xfId="0" applyNumberFormat="1" applyFont="1" applyFill="1" applyBorder="1" applyAlignment="1">
      <alignment/>
    </xf>
    <xf numFmtId="164" fontId="0" fillId="6" borderId="54" xfId="0" applyFont="1" applyFill="1" applyBorder="1" applyAlignment="1">
      <alignment horizontal="left"/>
    </xf>
    <xf numFmtId="164" fontId="0" fillId="0" borderId="48" xfId="0" applyFont="1" applyFill="1" applyBorder="1" applyAlignment="1">
      <alignment horizontal="left"/>
    </xf>
    <xf numFmtId="164" fontId="0" fillId="0" borderId="55" xfId="0" applyFont="1" applyFill="1" applyBorder="1" applyAlignment="1">
      <alignment horizontal="left"/>
    </xf>
    <xf numFmtId="165" fontId="0" fillId="2" borderId="0" xfId="0" applyNumberFormat="1" applyFill="1" applyBorder="1" applyAlignment="1">
      <alignment/>
    </xf>
    <xf numFmtId="165" fontId="2" fillId="2" borderId="22" xfId="0" applyNumberFormat="1" applyFont="1" applyFill="1" applyBorder="1" applyAlignment="1">
      <alignment horizontal="center" vertical="top"/>
    </xf>
    <xf numFmtId="164" fontId="0" fillId="0" borderId="39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 horizontal="left" vertical="top"/>
    </xf>
    <xf numFmtId="164" fontId="0" fillId="0" borderId="39" xfId="0" applyFont="1" applyFill="1" applyBorder="1" applyAlignment="1">
      <alignment horizontal="left"/>
    </xf>
    <xf numFmtId="164" fontId="0" fillId="0" borderId="18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25" xfId="0" applyFont="1" applyFill="1" applyBorder="1" applyAlignment="1">
      <alignment horizontal="left"/>
    </xf>
    <xf numFmtId="165" fontId="2" fillId="2" borderId="28" xfId="0" applyNumberFormat="1" applyFont="1" applyFill="1" applyBorder="1" applyAlignment="1">
      <alignment horizontal="center" vertical="top"/>
    </xf>
    <xf numFmtId="165" fontId="2" fillId="0" borderId="28" xfId="0" applyNumberFormat="1" applyFont="1" applyFill="1" applyBorder="1" applyAlignment="1">
      <alignment horizontal="left" vertical="top"/>
    </xf>
    <xf numFmtId="164" fontId="0" fillId="0" borderId="38" xfId="0" applyFont="1" applyFill="1" applyBorder="1" applyAlignment="1">
      <alignment horizontal="left"/>
    </xf>
    <xf numFmtId="164" fontId="0" fillId="0" borderId="30" xfId="0" applyFont="1" applyFill="1" applyBorder="1" applyAlignment="1">
      <alignment horizontal="left"/>
    </xf>
    <xf numFmtId="164" fontId="4" fillId="8" borderId="15" xfId="0" applyNumberFormat="1" applyFont="1" applyFill="1" applyBorder="1" applyAlignment="1">
      <alignment/>
    </xf>
    <xf numFmtId="164" fontId="4" fillId="8" borderId="22" xfId="0" applyNumberFormat="1" applyFont="1" applyFill="1" applyBorder="1" applyAlignment="1">
      <alignment/>
    </xf>
    <xf numFmtId="164" fontId="4" fillId="8" borderId="28" xfId="0" applyNumberFormat="1" applyFont="1" applyFill="1" applyBorder="1" applyAlignment="1">
      <alignment/>
    </xf>
    <xf numFmtId="165" fontId="2" fillId="0" borderId="28" xfId="0" applyNumberFormat="1" applyFont="1" applyFill="1" applyBorder="1" applyAlignment="1">
      <alignment horizontal="left"/>
    </xf>
    <xf numFmtId="164" fontId="4" fillId="2" borderId="16" xfId="0" applyNumberFormat="1" applyFont="1" applyFill="1" applyBorder="1" applyAlignment="1">
      <alignment horizontal="left"/>
    </xf>
    <xf numFmtId="164" fontId="0" fillId="0" borderId="25" xfId="0" applyFill="1" applyBorder="1" applyAlignment="1">
      <alignment horizontal="left"/>
    </xf>
    <xf numFmtId="164" fontId="4" fillId="2" borderId="21" xfId="0" applyNumberFormat="1" applyFont="1" applyFill="1" applyBorder="1" applyAlignment="1">
      <alignment horizontal="left"/>
    </xf>
    <xf numFmtId="164" fontId="4" fillId="2" borderId="34" xfId="0" applyNumberFormat="1" applyFont="1" applyFill="1" applyBorder="1" applyAlignment="1">
      <alignment horizontal="left"/>
    </xf>
    <xf numFmtId="164" fontId="11" fillId="0" borderId="37" xfId="0" applyFont="1" applyBorder="1" applyAlignment="1">
      <alignment horizontal="left"/>
    </xf>
    <xf numFmtId="164" fontId="11" fillId="5" borderId="15" xfId="0" applyFont="1" applyFill="1" applyBorder="1" applyAlignment="1">
      <alignment horizontal="left"/>
    </xf>
    <xf numFmtId="164" fontId="0" fillId="5" borderId="16" xfId="0" applyFill="1" applyBorder="1" applyAlignment="1">
      <alignment horizontal="left"/>
    </xf>
    <xf numFmtId="164" fontId="11" fillId="6" borderId="32" xfId="0" applyFont="1" applyFill="1" applyBorder="1" applyAlignment="1">
      <alignment horizontal="left"/>
    </xf>
    <xf numFmtId="164" fontId="4" fillId="0" borderId="3" xfId="0" applyFont="1" applyBorder="1" applyAlignment="1">
      <alignment/>
    </xf>
    <xf numFmtId="164" fontId="0" fillId="0" borderId="37" xfId="0" applyFont="1" applyBorder="1" applyAlignment="1">
      <alignment horizontal="left"/>
    </xf>
    <xf numFmtId="168" fontId="4" fillId="0" borderId="15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 horizontal="left"/>
    </xf>
    <xf numFmtId="164" fontId="0" fillId="0" borderId="54" xfId="0" applyFont="1" applyBorder="1" applyAlignment="1">
      <alignment horizontal="left"/>
    </xf>
    <xf numFmtId="164" fontId="0" fillId="5" borderId="34" xfId="0" applyFont="1" applyFill="1" applyBorder="1" applyAlignment="1">
      <alignment horizontal="left"/>
    </xf>
    <xf numFmtId="168" fontId="4" fillId="0" borderId="22" xfId="0" applyNumberFormat="1" applyFont="1" applyFill="1" applyBorder="1" applyAlignment="1">
      <alignment/>
    </xf>
    <xf numFmtId="168" fontId="4" fillId="0" borderId="21" xfId="0" applyNumberFormat="1" applyFont="1" applyFill="1" applyBorder="1" applyAlignment="1">
      <alignment horizontal="left"/>
    </xf>
    <xf numFmtId="168" fontId="4" fillId="0" borderId="28" xfId="0" applyNumberFormat="1" applyFont="1" applyFill="1" applyBorder="1" applyAlignment="1">
      <alignment/>
    </xf>
    <xf numFmtId="168" fontId="4" fillId="0" borderId="34" xfId="0" applyNumberFormat="1" applyFont="1" applyFill="1" applyBorder="1" applyAlignment="1">
      <alignment horizontal="left"/>
    </xf>
    <xf numFmtId="165" fontId="2" fillId="2" borderId="56" xfId="0" applyNumberFormat="1" applyFont="1" applyFill="1" applyBorder="1" applyAlignment="1">
      <alignment horizontal="center"/>
    </xf>
    <xf numFmtId="164" fontId="0" fillId="0" borderId="24" xfId="0" applyFill="1" applyBorder="1" applyAlignment="1">
      <alignment/>
    </xf>
    <xf numFmtId="165" fontId="2" fillId="2" borderId="57" xfId="0" applyNumberFormat="1" applyFont="1" applyFill="1" applyBorder="1" applyAlignment="1">
      <alignment horizontal="center"/>
    </xf>
    <xf numFmtId="164" fontId="0" fillId="3" borderId="0" xfId="0" applyFill="1" applyAlignment="1">
      <alignment horizontal="left"/>
    </xf>
    <xf numFmtId="168" fontId="4" fillId="0" borderId="57" xfId="0" applyNumberFormat="1" applyFont="1" applyFill="1" applyBorder="1" applyAlignment="1">
      <alignment/>
    </xf>
    <xf numFmtId="164" fontId="0" fillId="0" borderId="58" xfId="0" applyFill="1" applyBorder="1" applyAlignment="1">
      <alignment/>
    </xf>
    <xf numFmtId="164" fontId="0" fillId="0" borderId="50" xfId="0" applyFill="1" applyBorder="1" applyAlignment="1">
      <alignment/>
    </xf>
    <xf numFmtId="164" fontId="0" fillId="0" borderId="59" xfId="0" applyNumberFormat="1" applyFill="1" applyBorder="1" applyAlignment="1">
      <alignment/>
    </xf>
    <xf numFmtId="168" fontId="4" fillId="0" borderId="56" xfId="0" applyNumberFormat="1" applyFont="1" applyFill="1" applyBorder="1" applyAlignment="1">
      <alignment/>
    </xf>
    <xf numFmtId="164" fontId="0" fillId="0" borderId="60" xfId="0" applyFill="1" applyBorder="1" applyAlignment="1">
      <alignment/>
    </xf>
    <xf numFmtId="164" fontId="0" fillId="0" borderId="11" xfId="0" applyFill="1" applyBorder="1" applyAlignment="1">
      <alignment/>
    </xf>
    <xf numFmtId="168" fontId="4" fillId="0" borderId="59" xfId="0" applyNumberFormat="1" applyFont="1" applyFill="1" applyBorder="1" applyAlignment="1">
      <alignment horizontal="left"/>
    </xf>
    <xf numFmtId="164" fontId="0" fillId="0" borderId="61" xfId="0" applyNumberFormat="1" applyFill="1" applyBorder="1" applyAlignment="1">
      <alignment/>
    </xf>
    <xf numFmtId="168" fontId="4" fillId="0" borderId="61" xfId="0" applyNumberFormat="1" applyFont="1" applyFill="1" applyBorder="1" applyAlignment="1">
      <alignment horizontal="left"/>
    </xf>
    <xf numFmtId="164" fontId="11" fillId="5" borderId="22" xfId="0" applyFont="1" applyFill="1" applyBorder="1" applyAlignment="1">
      <alignment horizontal="left"/>
    </xf>
    <xf numFmtId="164" fontId="11" fillId="5" borderId="0" xfId="0" applyFont="1" applyFill="1" applyBorder="1" applyAlignment="1">
      <alignment horizontal="left"/>
    </xf>
    <xf numFmtId="164" fontId="11" fillId="6" borderId="15" xfId="0" applyFont="1" applyFill="1" applyBorder="1" applyAlignment="1">
      <alignment horizontal="left"/>
    </xf>
    <xf numFmtId="164" fontId="0" fillId="0" borderId="1" xfId="0" applyFill="1" applyBorder="1" applyAlignment="1">
      <alignment/>
    </xf>
    <xf numFmtId="164" fontId="4" fillId="0" borderId="11" xfId="0" applyFont="1" applyFill="1" applyBorder="1" applyAlignment="1">
      <alignment/>
    </xf>
    <xf numFmtId="164" fontId="4" fillId="0" borderId="3" xfId="0" applyFont="1" applyFill="1" applyBorder="1" applyAlignment="1">
      <alignment/>
    </xf>
    <xf numFmtId="164" fontId="4" fillId="0" borderId="0" xfId="0" applyFont="1" applyFill="1" applyAlignment="1">
      <alignment horizontal="left"/>
    </xf>
    <xf numFmtId="164" fontId="0" fillId="0" borderId="62" xfId="0" applyFill="1" applyBorder="1" applyAlignment="1">
      <alignment/>
    </xf>
    <xf numFmtId="164" fontId="0" fillId="0" borderId="11" xfId="0" applyFill="1" applyBorder="1" applyAlignment="1">
      <alignment/>
    </xf>
    <xf numFmtId="164" fontId="0" fillId="0" borderId="25" xfId="0" applyFill="1" applyBorder="1" applyAlignment="1">
      <alignment/>
    </xf>
    <xf numFmtId="164" fontId="0" fillId="0" borderId="50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38" xfId="0" applyFill="1" applyBorder="1" applyAlignment="1">
      <alignment/>
    </xf>
    <xf numFmtId="164" fontId="0" fillId="5" borderId="17" xfId="0" applyFont="1" applyFill="1" applyBorder="1" applyAlignment="1">
      <alignment horizontal="left"/>
    </xf>
    <xf numFmtId="164" fontId="0" fillId="5" borderId="1" xfId="0" applyFont="1" applyFill="1" applyBorder="1" applyAlignment="1">
      <alignment horizontal="left"/>
    </xf>
    <xf numFmtId="164" fontId="0" fillId="5" borderId="25" xfId="0" applyFont="1" applyFill="1" applyBorder="1" applyAlignment="1">
      <alignment horizontal="left"/>
    </xf>
    <xf numFmtId="164" fontId="0" fillId="5" borderId="24" xfId="0" applyFont="1" applyFill="1" applyBorder="1" applyAlignment="1">
      <alignment horizontal="left"/>
    </xf>
    <xf numFmtId="164" fontId="0" fillId="5" borderId="29" xfId="0" applyFont="1" applyFill="1" applyBorder="1" applyAlignment="1">
      <alignment horizontal="left"/>
    </xf>
    <xf numFmtId="164" fontId="0" fillId="5" borderId="10" xfId="0" applyFont="1" applyFill="1" applyBorder="1" applyAlignment="1">
      <alignment horizontal="left"/>
    </xf>
    <xf numFmtId="164" fontId="0" fillId="5" borderId="11" xfId="0" applyFont="1" applyFill="1" applyBorder="1" applyAlignment="1">
      <alignment horizontal="left"/>
    </xf>
    <xf numFmtId="164" fontId="0" fillId="5" borderId="62" xfId="0" applyFont="1" applyFill="1" applyBorder="1" applyAlignment="1">
      <alignment horizontal="left"/>
    </xf>
    <xf numFmtId="164" fontId="0" fillId="5" borderId="50" xfId="0" applyFont="1" applyFill="1" applyBorder="1" applyAlignment="1">
      <alignment horizontal="left"/>
    </xf>
    <xf numFmtId="164" fontId="0" fillId="2" borderId="50" xfId="0" applyFill="1" applyBorder="1" applyAlignment="1">
      <alignment/>
    </xf>
    <xf numFmtId="168" fontId="4" fillId="0" borderId="20" xfId="0" applyNumberFormat="1" applyFont="1" applyFill="1" applyBorder="1" applyAlignment="1">
      <alignment horizontal="left"/>
    </xf>
    <xf numFmtId="168" fontId="4" fillId="0" borderId="26" xfId="0" applyNumberFormat="1" applyFont="1" applyFill="1" applyBorder="1" applyAlignment="1">
      <alignment horizontal="left"/>
    </xf>
    <xf numFmtId="168" fontId="4" fillId="0" borderId="35" xfId="0" applyNumberFormat="1" applyFont="1" applyFill="1" applyBorder="1" applyAlignment="1">
      <alignment horizontal="left"/>
    </xf>
    <xf numFmtId="168" fontId="4" fillId="0" borderId="63" xfId="0" applyNumberFormat="1" applyFont="1" applyFill="1" applyBorder="1" applyAlignment="1">
      <alignment/>
    </xf>
    <xf numFmtId="164" fontId="0" fillId="0" borderId="39" xfId="0" applyFill="1" applyBorder="1" applyAlignment="1">
      <alignment/>
    </xf>
    <xf numFmtId="168" fontId="4" fillId="0" borderId="64" xfId="0" applyNumberFormat="1" applyFont="1" applyFill="1" applyBorder="1" applyAlignment="1">
      <alignment/>
    </xf>
    <xf numFmtId="168" fontId="4" fillId="0" borderId="65" xfId="0" applyNumberFormat="1" applyFont="1" applyFill="1" applyBorder="1" applyAlignment="1">
      <alignment/>
    </xf>
    <xf numFmtId="164" fontId="0" fillId="2" borderId="11" xfId="0" applyFill="1" applyBorder="1" applyAlignment="1">
      <alignment/>
    </xf>
    <xf numFmtId="168" fontId="4" fillId="2" borderId="22" xfId="0" applyNumberFormat="1" applyFont="1" applyFill="1" applyBorder="1" applyAlignment="1">
      <alignment/>
    </xf>
    <xf numFmtId="168" fontId="4" fillId="2" borderId="56" xfId="0" applyNumberFormat="1" applyFont="1" applyFill="1" applyBorder="1" applyAlignment="1">
      <alignment/>
    </xf>
    <xf numFmtId="168" fontId="4" fillId="2" borderId="57" xfId="0" applyNumberFormat="1" applyFont="1" applyFill="1" applyBorder="1" applyAlignment="1">
      <alignment/>
    </xf>
    <xf numFmtId="165" fontId="2" fillId="2" borderId="20" xfId="0" applyNumberFormat="1" applyFont="1" applyFill="1" applyBorder="1" applyAlignment="1">
      <alignment horizontal="center"/>
    </xf>
    <xf numFmtId="164" fontId="0" fillId="2" borderId="60" xfId="0" applyFill="1" applyBorder="1" applyAlignment="1">
      <alignment/>
    </xf>
    <xf numFmtId="164" fontId="0" fillId="2" borderId="24" xfId="0" applyFill="1" applyBorder="1" applyAlignment="1">
      <alignment/>
    </xf>
    <xf numFmtId="164" fontId="0" fillId="2" borderId="58" xfId="0" applyFill="1" applyBorder="1" applyAlignment="1">
      <alignment/>
    </xf>
    <xf numFmtId="165" fontId="2" fillId="2" borderId="56" xfId="0" applyNumberFormat="1" applyFont="1" applyFill="1" applyBorder="1" applyAlignment="1">
      <alignment horizontal="center" vertical="top"/>
    </xf>
    <xf numFmtId="164" fontId="0" fillId="2" borderId="66" xfId="0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1" xfId="0" applyFill="1" applyBorder="1" applyAlignment="1">
      <alignment/>
    </xf>
    <xf numFmtId="165" fontId="2" fillId="2" borderId="57" xfId="0" applyNumberFormat="1" applyFont="1" applyFill="1" applyBorder="1" applyAlignment="1">
      <alignment horizontal="center" vertical="top"/>
    </xf>
    <xf numFmtId="164" fontId="0" fillId="2" borderId="4" xfId="0" applyFill="1" applyBorder="1" applyAlignment="1">
      <alignment/>
    </xf>
    <xf numFmtId="164" fontId="0" fillId="2" borderId="62" xfId="0" applyFill="1" applyBorder="1" applyAlignment="1">
      <alignment/>
    </xf>
    <xf numFmtId="164" fontId="2" fillId="2" borderId="22" xfId="0" applyFont="1" applyFill="1" applyBorder="1" applyAlignment="1">
      <alignment horizontal="center" vertical="top"/>
    </xf>
    <xf numFmtId="164" fontId="0" fillId="0" borderId="20" xfId="0" applyFill="1" applyBorder="1" applyAlignment="1">
      <alignment/>
    </xf>
    <xf numFmtId="168" fontId="4" fillId="0" borderId="56" xfId="0" applyNumberFormat="1" applyFont="1" applyFill="1" applyBorder="1" applyAlignment="1">
      <alignment horizontal="left"/>
    </xf>
    <xf numFmtId="164" fontId="2" fillId="2" borderId="3" xfId="0" applyFont="1" applyFill="1" applyBorder="1" applyAlignment="1">
      <alignment horizontal="center"/>
    </xf>
    <xf numFmtId="164" fontId="0" fillId="0" borderId="26" xfId="0" applyFill="1" applyBorder="1" applyAlignment="1">
      <alignment/>
    </xf>
    <xf numFmtId="168" fontId="4" fillId="0" borderId="22" xfId="0" applyNumberFormat="1" applyFont="1" applyFill="1" applyBorder="1" applyAlignment="1">
      <alignment horizontal="left"/>
    </xf>
    <xf numFmtId="164" fontId="2" fillId="2" borderId="54" xfId="0" applyFont="1" applyFill="1" applyBorder="1" applyAlignment="1">
      <alignment horizontal="center"/>
    </xf>
    <xf numFmtId="164" fontId="4" fillId="0" borderId="28" xfId="0" applyFont="1" applyFill="1" applyBorder="1" applyAlignment="1">
      <alignment/>
    </xf>
    <xf numFmtId="164" fontId="0" fillId="0" borderId="35" xfId="0" applyFill="1" applyBorder="1" applyAlignment="1">
      <alignment/>
    </xf>
    <xf numFmtId="164" fontId="4" fillId="0" borderId="28" xfId="0" applyFont="1" applyFill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14" fillId="2" borderId="0" xfId="0" applyFont="1" applyFill="1" applyBorder="1" applyAlignment="1">
      <alignment horizontal="center"/>
    </xf>
    <xf numFmtId="164" fontId="15" fillId="0" borderId="0" xfId="0" applyFont="1" applyBorder="1" applyAlignment="1">
      <alignment wrapText="1"/>
    </xf>
    <xf numFmtId="164" fontId="16" fillId="0" borderId="0" xfId="0" applyFont="1" applyBorder="1" applyAlignment="1">
      <alignment/>
    </xf>
    <xf numFmtId="164" fontId="1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ChurchCalR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99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epherdboy-mydailywalk.blogspot.com/" TargetMode="External" /><Relationship Id="rId2" Type="http://schemas.openxmlformats.org/officeDocument/2006/relationships/hyperlink" Target="http://shepherdboy.byethost12.com/" TargetMode="External" /><Relationship Id="rId3" Type="http://schemas.openxmlformats.org/officeDocument/2006/relationships/hyperlink" Target="http://shepherdboy-mydailywalk.blogspot.com/" TargetMode="External" /><Relationship Id="rId4" Type="http://schemas.openxmlformats.org/officeDocument/2006/relationships/hyperlink" Target="mailto:foersdiaz@aol.co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91"/>
  <sheetViews>
    <sheetView tabSelected="1" zoomScale="69" zoomScaleNormal="69" workbookViewId="0" topLeftCell="A1">
      <selection activeCell="A7" sqref="A7"/>
    </sheetView>
  </sheetViews>
  <sheetFormatPr defaultColWidth="9.140625" defaultRowHeight="12.75"/>
  <cols>
    <col min="1" max="1" width="26.140625" style="0" customWidth="1"/>
    <col min="2" max="2" width="24.140625" style="0" customWidth="1"/>
    <col min="3" max="3" width="0" style="0" hidden="1" customWidth="1"/>
    <col min="4" max="4" width="14.140625" style="1" customWidth="1"/>
    <col min="5" max="5" width="0" style="0" hidden="1" customWidth="1"/>
    <col min="6" max="6" width="26.57421875" style="0" customWidth="1"/>
    <col min="7" max="7" width="24.57421875" style="0" customWidth="1"/>
    <col min="8" max="8" width="25.8515625" style="0" customWidth="1"/>
    <col min="9" max="9" width="28.00390625" style="0" customWidth="1"/>
    <col min="10" max="10" width="22.28125" style="0" customWidth="1"/>
    <col min="11" max="11" width="27.421875" style="0" customWidth="1"/>
    <col min="12" max="12" width="21.57421875" style="0" customWidth="1"/>
    <col min="13" max="13" width="22.140625" style="0" customWidth="1"/>
    <col min="14" max="14" width="26.00390625" style="2" customWidth="1"/>
    <col min="15" max="15" width="12.28125" style="0" customWidth="1"/>
    <col min="16" max="37" width="0" style="2" hidden="1" customWidth="1"/>
    <col min="38" max="38" width="22.421875" style="2" customWidth="1"/>
    <col min="39" max="39" width="31.140625" style="2" customWidth="1"/>
    <col min="40" max="40" width="26.8515625" style="2" customWidth="1"/>
    <col min="41" max="41" width="34.57421875" style="2" customWidth="1"/>
    <col min="42" max="43" width="36.57421875" style="2" customWidth="1"/>
    <col min="44" max="44" width="34.140625" style="2" customWidth="1"/>
    <col min="45" max="45" width="35.57421875" style="2" customWidth="1"/>
    <col min="46" max="46" width="9.00390625" style="2" customWidth="1"/>
    <col min="47" max="47" width="0" style="2" hidden="1" customWidth="1"/>
    <col min="48" max="48" width="14.421875" style="2" customWidth="1"/>
    <col min="49" max="49" width="30.7109375" style="2" customWidth="1"/>
    <col min="50" max="50" width="28.421875" style="2" customWidth="1"/>
    <col min="51" max="51" width="26.00390625" style="2" customWidth="1"/>
    <col min="52" max="52" width="23.00390625" style="2" customWidth="1"/>
    <col min="53" max="53" width="27.00390625" style="2" customWidth="1"/>
    <col min="54" max="54" width="25.28125" style="2" customWidth="1"/>
    <col min="55" max="55" width="21.7109375" style="2" customWidth="1"/>
    <col min="56" max="57" width="0" style="2" hidden="1" customWidth="1"/>
    <col min="58" max="58" width="14.8515625" style="2" customWidth="1"/>
    <col min="59" max="59" width="24.57421875" style="2" customWidth="1"/>
    <col min="60" max="60" width="25.8515625" style="2" customWidth="1"/>
    <col min="61" max="61" width="26.00390625" style="2" customWidth="1"/>
    <col min="62" max="62" width="23.00390625" style="2" customWidth="1"/>
    <col min="63" max="63" width="27.00390625" style="2" customWidth="1"/>
    <col min="64" max="64" width="25.28125" style="2" customWidth="1"/>
    <col min="65" max="65" width="23.00390625" style="2" customWidth="1"/>
    <col min="66" max="66" width="0.2890625" style="2" customWidth="1"/>
    <col min="67" max="79" width="0" style="2" hidden="1" customWidth="1"/>
    <col min="80" max="80" width="10.28125" style="0" customWidth="1"/>
  </cols>
  <sheetData>
    <row r="1" spans="1:38" ht="12.75">
      <c r="A1" s="3" t="s">
        <v>0</v>
      </c>
      <c r="B1" s="4"/>
      <c r="C1" s="4"/>
      <c r="D1" s="5"/>
      <c r="E1" s="6"/>
      <c r="F1" s="7"/>
      <c r="G1" s="7"/>
      <c r="H1" s="8"/>
      <c r="I1" s="9"/>
      <c r="J1" s="4"/>
      <c r="K1" s="4"/>
      <c r="L1" s="4"/>
      <c r="M1" s="4"/>
      <c r="N1" s="10"/>
      <c r="O1" s="11"/>
      <c r="Z1" s="12"/>
      <c r="AL1" s="13"/>
    </row>
    <row r="2" spans="1:62" ht="12.75">
      <c r="A2" s="14" t="s">
        <v>1</v>
      </c>
      <c r="B2" s="4"/>
      <c r="C2" s="4"/>
      <c r="D2" s="5"/>
      <c r="E2" s="6"/>
      <c r="F2" s="15" t="s">
        <v>2</v>
      </c>
      <c r="G2" s="8"/>
      <c r="H2" s="16" t="s">
        <v>3</v>
      </c>
      <c r="I2" s="9"/>
      <c r="J2" s="17"/>
      <c r="K2" s="18" t="s">
        <v>3</v>
      </c>
      <c r="L2" s="4"/>
      <c r="M2" s="4"/>
      <c r="N2" s="19" t="s">
        <v>4</v>
      </c>
      <c r="O2" s="11"/>
      <c r="Z2" s="12"/>
      <c r="AL2" s="13"/>
      <c r="AP2" s="10" t="s">
        <v>5</v>
      </c>
      <c r="AZ2" s="19" t="s">
        <v>6</v>
      </c>
      <c r="BJ2" s="20" t="s">
        <v>7</v>
      </c>
    </row>
    <row r="3" spans="4:79" ht="12.75">
      <c r="D3" s="21"/>
      <c r="E3" s="21"/>
      <c r="F3" s="21"/>
      <c r="G3" s="22"/>
      <c r="H3" s="23" t="s">
        <v>8</v>
      </c>
      <c r="N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62" ht="12.75">
      <c r="A4" s="14"/>
      <c r="B4" s="4"/>
      <c r="C4" s="4"/>
      <c r="D4" s="5"/>
      <c r="E4" s="24"/>
      <c r="F4" s="25" t="s">
        <v>9</v>
      </c>
      <c r="G4" s="26"/>
      <c r="H4" s="23" t="s">
        <v>8</v>
      </c>
      <c r="I4" s="9"/>
      <c r="J4" s="17"/>
      <c r="K4" s="18"/>
      <c r="L4" s="4"/>
      <c r="M4" s="4"/>
      <c r="N4" s="19"/>
      <c r="O4" s="11"/>
      <c r="Z4" s="12"/>
      <c r="AL4" s="13"/>
      <c r="AP4" s="10"/>
      <c r="AZ4" s="19"/>
      <c r="BJ4" s="20"/>
    </row>
    <row r="5" spans="2:52" ht="12.75" customHeight="1">
      <c r="B5" s="4"/>
      <c r="C5" s="4"/>
      <c r="D5" s="5"/>
      <c r="E5" s="6"/>
      <c r="F5" s="27"/>
      <c r="G5" s="27"/>
      <c r="H5" s="27"/>
      <c r="I5" s="28"/>
      <c r="J5" s="17"/>
      <c r="K5" s="29"/>
      <c r="L5" s="4"/>
      <c r="M5" s="29"/>
      <c r="N5" s="19"/>
      <c r="O5" s="11"/>
      <c r="Z5" s="12"/>
      <c r="AL5" s="13"/>
      <c r="AP5" s="10"/>
      <c r="AZ5" s="30"/>
    </row>
    <row r="6" spans="1:77" ht="12.75">
      <c r="A6" s="31" t="s">
        <v>10</v>
      </c>
      <c r="B6" s="32" t="s">
        <v>11</v>
      </c>
      <c r="C6" s="4"/>
      <c r="D6" s="33" t="s">
        <v>12</v>
      </c>
      <c r="E6" s="34" t="s">
        <v>13</v>
      </c>
      <c r="F6" s="35" t="s">
        <v>14</v>
      </c>
      <c r="G6" s="36" t="s">
        <v>15</v>
      </c>
      <c r="H6" s="37" t="s">
        <v>16</v>
      </c>
      <c r="I6" s="38" t="s">
        <v>17</v>
      </c>
      <c r="J6" s="38" t="s">
        <v>18</v>
      </c>
      <c r="K6" s="38" t="s">
        <v>19</v>
      </c>
      <c r="L6" s="38" t="s">
        <v>20</v>
      </c>
      <c r="M6" s="38" t="s">
        <v>21</v>
      </c>
      <c r="N6" s="39" t="s">
        <v>22</v>
      </c>
      <c r="O6" s="40" t="str">
        <f>D6</f>
        <v>Date</v>
      </c>
      <c r="P6" s="41" t="s">
        <v>23</v>
      </c>
      <c r="Q6" s="41" t="s">
        <v>24</v>
      </c>
      <c r="R6" s="41" t="s">
        <v>25</v>
      </c>
      <c r="S6" s="41" t="s">
        <v>26</v>
      </c>
      <c r="T6" s="42" t="s">
        <v>27</v>
      </c>
      <c r="U6" s="41" t="s">
        <v>24</v>
      </c>
      <c r="V6" s="41" t="s">
        <v>28</v>
      </c>
      <c r="W6" s="41" t="s">
        <v>29</v>
      </c>
      <c r="X6" s="41" t="s">
        <v>30</v>
      </c>
      <c r="Y6" s="41" t="s">
        <v>31</v>
      </c>
      <c r="Z6" s="43" t="s">
        <v>32</v>
      </c>
      <c r="AA6" s="41" t="s">
        <v>33</v>
      </c>
      <c r="AB6" s="41" t="s">
        <v>34</v>
      </c>
      <c r="AC6" s="41" t="s">
        <v>35</v>
      </c>
      <c r="AD6" s="41" t="s">
        <v>36</v>
      </c>
      <c r="AE6" s="41" t="s">
        <v>37</v>
      </c>
      <c r="AF6" s="41" t="s">
        <v>38</v>
      </c>
      <c r="AG6" s="41" t="s">
        <v>39</v>
      </c>
      <c r="AH6" s="41" t="s">
        <v>40</v>
      </c>
      <c r="AI6" s="44"/>
      <c r="AJ6" s="41" t="s">
        <v>41</v>
      </c>
      <c r="AK6" s="45" t="s">
        <v>13</v>
      </c>
      <c r="AL6" s="45" t="s">
        <v>42</v>
      </c>
      <c r="AM6" s="45" t="s">
        <v>15</v>
      </c>
      <c r="AN6" s="45" t="s">
        <v>16</v>
      </c>
      <c r="AO6" s="45" t="s">
        <v>43</v>
      </c>
      <c r="AP6" s="45" t="s">
        <v>18</v>
      </c>
      <c r="AQ6" s="45" t="s">
        <v>19</v>
      </c>
      <c r="AR6" s="45" t="s">
        <v>20</v>
      </c>
      <c r="AS6" s="45" t="s">
        <v>21</v>
      </c>
      <c r="AT6" s="45" t="s">
        <v>41</v>
      </c>
      <c r="AU6" s="45" t="s">
        <v>13</v>
      </c>
      <c r="AV6" s="45" t="s">
        <v>42</v>
      </c>
      <c r="AW6" s="45" t="s">
        <v>15</v>
      </c>
      <c r="AX6" s="45" t="s">
        <v>16</v>
      </c>
      <c r="AY6" s="45" t="s">
        <v>43</v>
      </c>
      <c r="AZ6" s="45" t="s">
        <v>18</v>
      </c>
      <c r="BA6" s="45" t="s">
        <v>19</v>
      </c>
      <c r="BB6" s="45" t="s">
        <v>20</v>
      </c>
      <c r="BC6" s="45" t="s">
        <v>21</v>
      </c>
      <c r="BD6" s="45" t="s">
        <v>41</v>
      </c>
      <c r="BE6" s="45" t="s">
        <v>13</v>
      </c>
      <c r="BF6" s="45" t="s">
        <v>42</v>
      </c>
      <c r="BG6" s="45" t="s">
        <v>15</v>
      </c>
      <c r="BH6" s="45" t="s">
        <v>16</v>
      </c>
      <c r="BI6" s="45" t="s">
        <v>43</v>
      </c>
      <c r="BJ6" s="45" t="s">
        <v>18</v>
      </c>
      <c r="BK6" s="45" t="s">
        <v>19</v>
      </c>
      <c r="BL6" s="45" t="s">
        <v>20</v>
      </c>
      <c r="BM6" s="45" t="s">
        <v>21</v>
      </c>
      <c r="BS6" s="2" t="s">
        <v>15</v>
      </c>
      <c r="BT6" s="2" t="s">
        <v>16</v>
      </c>
      <c r="BU6" s="2" t="s">
        <v>43</v>
      </c>
      <c r="BV6" s="2" t="s">
        <v>18</v>
      </c>
      <c r="BW6" s="2" t="s">
        <v>19</v>
      </c>
      <c r="BX6" s="2" t="s">
        <v>20</v>
      </c>
      <c r="BY6" s="2" t="s">
        <v>21</v>
      </c>
    </row>
    <row r="7" spans="1:65" ht="12.75">
      <c r="A7" s="46">
        <v>2013</v>
      </c>
      <c r="B7" s="47" t="str">
        <f>IF(MOD(A7,400),C40,"LEAP YEAR")</f>
        <v>NOT LEAP YEAR</v>
      </c>
      <c r="C7" s="4"/>
      <c r="D7" s="48">
        <f>B25</f>
        <v>41245</v>
      </c>
      <c r="E7" s="49">
        <v>1</v>
      </c>
      <c r="F7" s="50" t="s">
        <v>44</v>
      </c>
      <c r="G7" s="51" t="str">
        <f>IF(ISBLANK(BG7),IF(MOD(A7,2),LOOKUP(E7,AK7:AM182),LOOKUP(E7,AU:AW)),IF(C27&gt;2,LOOKUP(E7,BE:BG),IF(C27=2,LOOKUP(E7,AU:AW),LOOKUP(E7,AK:AM))))</f>
        <v>Isaiah 1:1-9,</v>
      </c>
      <c r="H7" s="52" t="str">
        <f>IF(ISNUMBER(D37),IF(ISBLANK(BG7),IF(MOD(A7,2),LOOKUP(E7,AK:AN),LOOKUP(E7,AU:AX)),IF(C27&gt;2,LOOKUP(E7,BE:BH),IF(C27=2,LOOKUP(E7,AU:AX),LOOKUP(E7,AK:AN)))),AI36)</f>
        <v>Isaiah 1:10-20,</v>
      </c>
      <c r="I7" s="53" t="str">
        <f>IF(ISBLANK(BG7),IF(MOD(A7,2),LOOKUP(E7,AK7:AO182),LOOKUP(E7,AU:AY)),IF(C27&gt;2,LOOKUP(E7,BE:BI),IF(C27=2,LOOKUP(E7,AU:AY),LOOKUP(E7,AK:AO))))</f>
        <v>Isaiah 1:21-31,</v>
      </c>
      <c r="J7" s="54" t="str">
        <f>IF(ISBLANK(BG7),IF(MOD(A7,2),LOOKUP(E7,AK7:AP182),LOOKUP(E7,AU:AZ)),IF(C27&gt;2,LOOKUP(E7,BE:BJ),IF(C27=2,LOOKUP(E7,AU:AZ),LOOKUP(E7,AK:AP))))</f>
        <v>Isaiah 2:1-4,</v>
      </c>
      <c r="K7" s="51" t="str">
        <f>IF(ISBLANK(BG7),IF(MOD(A7,2),LOOKUP(E7,AK7:AQ182),LOOKUP(E7,AU:BA)),IF(C27&gt;2,LOOKUP(E7,BE:BK),IF(C27=2,LOOKUP(E7,AU:BA),LOOKUP(E7,AK:AQ))))</f>
        <v>Isaiah 2:5-22,</v>
      </c>
      <c r="L7" s="52" t="str">
        <f>IF(ISBLANK(BG7),IF(MOD(A7,2),LOOKUP(E7,AK7:AR182),LOOKUP(E7,AU:BB)),IF(C27&gt;2,LOOKUP(E7,BE:BL),IF(C27=2,LOOKUP(E7,AU:BB),LOOKUP(E7,AK:AR))))</f>
        <v>Isaiah 3:1-4:1,</v>
      </c>
      <c r="M7" s="52" t="str">
        <f>IF(ISBLANK(BG7),IF(MOD(A7,2),LOOKUP(E7,AK7:AS182),LOOKUP(E7,AU:BC)),IF(C27&gt;2,LOOKUP(E7,BE:BM),IF(C27=2,LOOKUP(E7,AU:BC),LOOKUP(E7,AK:AS))))</f>
        <v>Isaiah 4:2-6,</v>
      </c>
      <c r="N7" s="55" t="s">
        <v>44</v>
      </c>
      <c r="O7" s="56">
        <f>D7</f>
        <v>41245</v>
      </c>
      <c r="P7" s="57">
        <v>2003</v>
      </c>
      <c r="Q7" s="57">
        <v>420</v>
      </c>
      <c r="R7" s="58">
        <f>DATE(P7,4,20)</f>
        <v>37731</v>
      </c>
      <c r="S7" s="59">
        <f>DATE(A7,3,22)</f>
        <v>41355</v>
      </c>
      <c r="T7" s="59">
        <f>DATE(A7-1,3,22)</f>
        <v>40990</v>
      </c>
      <c r="U7" s="60">
        <v>322</v>
      </c>
      <c r="V7" s="2">
        <v>1</v>
      </c>
      <c r="W7" s="2">
        <v>118</v>
      </c>
      <c r="X7" s="59">
        <f>DATE(A7,1,18)</f>
        <v>41292</v>
      </c>
      <c r="Y7" s="2">
        <v>204</v>
      </c>
      <c r="Z7" s="12">
        <f>DATE(A7,2,4)</f>
        <v>41309</v>
      </c>
      <c r="AA7" s="2">
        <v>430</v>
      </c>
      <c r="AB7" s="59">
        <f>DATE(A7,4,30)</f>
        <v>41394</v>
      </c>
      <c r="AC7" s="2">
        <v>510</v>
      </c>
      <c r="AD7" s="59">
        <f>DATE(A7,5,10)</f>
        <v>41404</v>
      </c>
      <c r="AE7" s="2">
        <v>27</v>
      </c>
      <c r="AF7" s="2">
        <v>1129</v>
      </c>
      <c r="AG7" s="59">
        <f>DATE(A7,11,29)</f>
        <v>41607</v>
      </c>
      <c r="AH7" s="59">
        <f>DATE(A7-1,11,29)</f>
        <v>41242</v>
      </c>
      <c r="AI7" s="61"/>
      <c r="AJ7" s="30" t="s">
        <v>45</v>
      </c>
      <c r="AK7" s="30">
        <v>1</v>
      </c>
      <c r="AL7" s="62" t="s">
        <v>46</v>
      </c>
      <c r="AM7" s="63" t="s">
        <v>47</v>
      </c>
      <c r="AN7" s="64" t="s">
        <v>48</v>
      </c>
      <c r="AO7" s="63" t="s">
        <v>49</v>
      </c>
      <c r="AP7" s="64" t="s">
        <v>50</v>
      </c>
      <c r="AQ7" s="63" t="s">
        <v>51</v>
      </c>
      <c r="AR7" s="64" t="s">
        <v>52</v>
      </c>
      <c r="AS7" s="64" t="s">
        <v>53</v>
      </c>
      <c r="AT7" s="65" t="s">
        <v>54</v>
      </c>
      <c r="AU7" s="30">
        <v>1</v>
      </c>
      <c r="AV7" s="62" t="s">
        <v>46</v>
      </c>
      <c r="AW7" s="66" t="s">
        <v>55</v>
      </c>
      <c r="AX7" s="67" t="s">
        <v>56</v>
      </c>
      <c r="AY7" s="66" t="s">
        <v>57</v>
      </c>
      <c r="AZ7" s="67" t="s">
        <v>58</v>
      </c>
      <c r="BA7" s="67" t="s">
        <v>59</v>
      </c>
      <c r="BB7" s="67" t="s">
        <v>60</v>
      </c>
      <c r="BC7" s="67" t="s">
        <v>61</v>
      </c>
      <c r="BD7" s="65" t="s">
        <v>62</v>
      </c>
      <c r="BE7" s="30">
        <v>1</v>
      </c>
      <c r="BF7" s="62" t="s">
        <v>46</v>
      </c>
      <c r="BG7" s="68"/>
      <c r="BH7" s="69" t="s">
        <v>63</v>
      </c>
      <c r="BI7" s="68" t="s">
        <v>64</v>
      </c>
      <c r="BJ7" s="69" t="s">
        <v>65</v>
      </c>
      <c r="BK7" s="69" t="s">
        <v>66</v>
      </c>
      <c r="BL7" s="69" t="s">
        <v>67</v>
      </c>
      <c r="BM7" s="69" t="s">
        <v>68</v>
      </c>
    </row>
    <row r="8" spans="1:65" ht="12.75">
      <c r="A8" s="70"/>
      <c r="B8" s="71"/>
      <c r="C8" s="4"/>
      <c r="D8" s="72"/>
      <c r="E8" s="73">
        <v>2</v>
      </c>
      <c r="F8" s="74"/>
      <c r="G8" s="75" t="str">
        <f>IF(ISBLANK(BG7),IF(MOD(A7,2),LOOKUP(E8,AK7:AM182),LOOKUP(E8,AU:AW)),IF(C27&gt;2,LOOKUP(E8,BE:BG),IF(C27=2,LOOKUP(E8,AU:AW),LOOKUP(E8,AK:AM))))</f>
        <v>2 Peter 3:1-10,</v>
      </c>
      <c r="H8" s="76" t="str">
        <f>IF(ISBLANK(BG7),IF(MOD(A7,2),LOOKUP(E8,AK7:AN182),LOOKUP(E8,AU:AX)),IF(C27&gt;2,LOOKUP(E8,BE:BH),IF(C27=2,LOOKUP(E8,AU:AX),LOOKUP(E8,AK:AN))))</f>
        <v>1 Thessalonians 1:1-10,</v>
      </c>
      <c r="I8" s="76" t="str">
        <f>IF(ISBLANK(BG7),IF(MOD(A7,2),LOOKUP(E8,AK7:AO182),LOOKUP(E8,AU:AY)),IF(C27&gt;2,LOOKUP(E8,BE:BI),IF(C27=2,LOOKUP(E8,AU:AY),LOOKUP(E8,AK:AO))))</f>
        <v>1 Thessalonians 2:1-12,</v>
      </c>
      <c r="J8" s="76" t="str">
        <f>IF(ISBLANK(BG7),IF(MOD(A7,2),LOOKUP(E8,AK7:AP182),LOOKUP(E8,AU:AZ)),IF(C27&gt;2,LOOKUP(E8,BE:BJ),IF(C27=2,LOOKUP(E8,AU:AZ),LOOKUP(E8,AK:AP))))</f>
        <v>1 Thessalonians 2:13-20,</v>
      </c>
      <c r="K8" s="76" t="str">
        <f>IF(ISBLANK(BG7),IF(MOD(A7,2),LOOKUP(E8,AK7:AQ182),LOOKUP(E8,AU:BA)),IF(C27&gt;2,LOOKUP(E8,BE:BK),IF(C27=2,LOOKUP(E8,AU:BA),LOOKUP(E8,AK:AQ))))</f>
        <v>1 Thessalonians 3:1-13,</v>
      </c>
      <c r="L8" s="76" t="str">
        <f>IF(ISBLANK(BG7),IF(MOD(A7,2),LOOKUP(E8,AK7:AR182),LOOKUP(E8,AU:BB)),IF(C27&gt;2,LOOKUP(E8,BE:BL),IF(C27=2,LOOKUP(E8,AU:BB),LOOKUP(E8,AK:AR))))</f>
        <v>1 Thessalonians 4:1-12,</v>
      </c>
      <c r="M8" s="76" t="str">
        <f>IF(ISBLANK(BG7),IF(MOD(A7,2),LOOKUP(E8,AK7:AS182),LOOKUP(E8,AU:BC)),IF(C27&gt;2,LOOKUP(E8,BE:BM),IF(C27=2,LOOKUP(E8,AU:BC),LOOKUP(E8,AK:AS))))</f>
        <v>1 Thessalonians 4:13-18</v>
      </c>
      <c r="N8" s="77"/>
      <c r="O8" s="78"/>
      <c r="P8" s="57">
        <v>2004</v>
      </c>
      <c r="Q8" s="57">
        <v>411</v>
      </c>
      <c r="R8" s="59">
        <f>DATE(P8,4,11)</f>
        <v>38088</v>
      </c>
      <c r="S8" s="59">
        <f>DATE(A7,3,23)</f>
        <v>41356</v>
      </c>
      <c r="T8" s="59">
        <f>DATE(A7-1,3,23)</f>
        <v>40991</v>
      </c>
      <c r="U8" s="60">
        <v>323</v>
      </c>
      <c r="V8" s="2">
        <v>1</v>
      </c>
      <c r="W8" s="2">
        <v>119</v>
      </c>
      <c r="X8" s="59">
        <f>DATE(A7,1,19)</f>
        <v>41293</v>
      </c>
      <c r="Y8" s="2">
        <v>205</v>
      </c>
      <c r="Z8" s="12">
        <f>DATE(A7,2,5)</f>
        <v>41310</v>
      </c>
      <c r="AA8" s="2">
        <v>501</v>
      </c>
      <c r="AB8" s="59">
        <f>DATE(A7,5,1)</f>
        <v>41395</v>
      </c>
      <c r="AC8" s="2">
        <v>511</v>
      </c>
      <c r="AD8" s="59">
        <f>DATE(A7,5,11)</f>
        <v>41405</v>
      </c>
      <c r="AE8" s="2">
        <v>27</v>
      </c>
      <c r="AF8" s="2">
        <v>1130</v>
      </c>
      <c r="AG8" s="59">
        <f>DATE(A7,11,30)</f>
        <v>41608</v>
      </c>
      <c r="AH8" s="59">
        <f>DATE(A7-1,11,30)</f>
        <v>41243</v>
      </c>
      <c r="AI8" s="44" t="e">
        <f>NA()</f>
        <v>#N/A</v>
      </c>
      <c r="AK8" s="2">
        <v>2</v>
      </c>
      <c r="AL8" s="62" t="s">
        <v>69</v>
      </c>
      <c r="AM8" s="63" t="s">
        <v>70</v>
      </c>
      <c r="AN8" s="64" t="s">
        <v>71</v>
      </c>
      <c r="AO8" s="63" t="s">
        <v>72</v>
      </c>
      <c r="AP8" s="64" t="s">
        <v>73</v>
      </c>
      <c r="AQ8" s="63" t="s">
        <v>74</v>
      </c>
      <c r="AR8" s="64" t="s">
        <v>75</v>
      </c>
      <c r="AS8" s="64" t="s">
        <v>76</v>
      </c>
      <c r="AU8" s="2">
        <v>2</v>
      </c>
      <c r="AV8" s="62" t="s">
        <v>69</v>
      </c>
      <c r="AW8" s="66" t="s">
        <v>77</v>
      </c>
      <c r="AX8" s="67" t="s">
        <v>78</v>
      </c>
      <c r="AY8" s="66" t="s">
        <v>79</v>
      </c>
      <c r="AZ8" s="67" t="s">
        <v>70</v>
      </c>
      <c r="BA8" s="67" t="s">
        <v>80</v>
      </c>
      <c r="BB8" s="67" t="s">
        <v>81</v>
      </c>
      <c r="BC8" s="67" t="s">
        <v>82</v>
      </c>
      <c r="BE8" s="2">
        <v>2</v>
      </c>
      <c r="BF8" s="62" t="s">
        <v>69</v>
      </c>
      <c r="BG8" s="68" t="s">
        <v>83</v>
      </c>
      <c r="BH8" s="69" t="s">
        <v>84</v>
      </c>
      <c r="BI8" s="68" t="s">
        <v>85</v>
      </c>
      <c r="BJ8" s="69" t="s">
        <v>86</v>
      </c>
      <c r="BK8" s="69" t="s">
        <v>87</v>
      </c>
      <c r="BL8" s="69" t="s">
        <v>88</v>
      </c>
      <c r="BM8" s="69" t="s">
        <v>89</v>
      </c>
    </row>
    <row r="9" spans="1:65" ht="12.75">
      <c r="A9" s="79" t="s">
        <v>90</v>
      </c>
      <c r="B9" s="80" t="s">
        <v>91</v>
      </c>
      <c r="C9" s="4"/>
      <c r="D9" s="81"/>
      <c r="E9" s="73">
        <v>3</v>
      </c>
      <c r="F9" s="74"/>
      <c r="G9" s="82" t="str">
        <f>IF(ISBLANK(BG7),IF(MOD(A7,2),LOOKUP(E9,AK7:AM182),LOOKUP(E9,AU:AW)),IF(C27&gt;2,LOOKUP(E9,BE:BG),IF(C27=2,LOOKUP(E9,AU:AW),LOOKUP(E9,AK:AM))))</f>
        <v>Matthew 25:1-13</v>
      </c>
      <c r="H9" s="83" t="str">
        <f>IF(ISBLANK(BG7),IF(MOD(A7,2),LOOKUP(E9,AK7:AN182),LOOKUP(E9,AU:AX)),IF(C27&gt;2,LOOKUP(E9,BE:BH),IF(C27=2,LOOKUP(E9,AU:AX),LOOKUP(E9,AK:AN))))</f>
        <v>Luke 20:1-8</v>
      </c>
      <c r="I9" s="83" t="str">
        <f>IF(ISBLANK(BG7),IF(MOD(A7,2),LOOKUP(E9,AK7:AO182),LOOKUP(E9,AU:AY)),IF(C27&gt;2,LOOKUP(E9,BE:BI),IF(C27=2,LOOKUP(E9,AU:AY),LOOKUP(E8,AK:AO))))</f>
        <v>Luke 20:9-18</v>
      </c>
      <c r="J9" s="83" t="str">
        <f>IF(ISBLANK(BG7),IF(MOD(A7,2),LOOKUP(E9,AK7:AP182),LOOKUP(E9,AU:AZ)),IF(C27&gt;2,LOOKUP(E9,BE:BJ),IF(C27=2,LOOKUP(E9,AU:AZ),LOOKUP(E9,AK:AP))))</f>
        <v>Luke 20:19-26</v>
      </c>
      <c r="K9" s="83" t="str">
        <f>IF(ISBLANK(BG7),IF(MOD(A7,2),LOOKUP(E9,AK7:AQ182),LOOKUP(E9,AU:BA)),IF(C27&gt;2,LOOKUP(E9,BE:BK),IF(C27=2,LOOKUP(E9,AU:BA),LOOKUP(E9,AK:AQ))))</f>
        <v>Luke 20:27-40</v>
      </c>
      <c r="L9" s="83" t="str">
        <f>IF(ISBLANK(BG7),IF(MOD(A7,2),LOOKUP(E9,AK7:AR182),LOOKUP(E9,AU:BB)),IF(C27&gt;2,LOOKUP(E9,BE:BL),IF(C27=2,LOOKUP(E9,AU:BB),LOOKUP(E9,AK:AR))))</f>
        <v>Luke 20:41-21:4</v>
      </c>
      <c r="M9" s="83" t="str">
        <f>IF(ISBLANK(BG7),IF(MOD(A7,2),LOOKUP(E9,AK7:AS182),LOOKUP(E9,AU:BC)),IF(C27&gt;2,LOOKUP(E9,BE:BM),IF(C27=2,LOOKUP(E9,AU:BC),LOOKUP(E9,AK:AS))))</f>
        <v>Luke 21:5-19</v>
      </c>
      <c r="N9" s="77"/>
      <c r="O9" s="78"/>
      <c r="P9" s="2">
        <v>2005</v>
      </c>
      <c r="Q9" s="60">
        <v>327</v>
      </c>
      <c r="R9" s="59">
        <f>DATE(P9,3,27)</f>
        <v>38438</v>
      </c>
      <c r="S9" s="59">
        <f>DATE(A7,3,24)</f>
        <v>41357</v>
      </c>
      <c r="T9" s="59">
        <f>DATE(A7-1,3,24)</f>
        <v>40992</v>
      </c>
      <c r="U9" s="60">
        <v>324</v>
      </c>
      <c r="V9" s="2">
        <v>1</v>
      </c>
      <c r="W9" s="2">
        <v>120</v>
      </c>
      <c r="X9" s="59">
        <f>DATE(A7,1,20)</f>
        <v>41294</v>
      </c>
      <c r="Y9" s="2">
        <v>206</v>
      </c>
      <c r="Z9" s="12">
        <f>DATE(A7,2,6)</f>
        <v>41311</v>
      </c>
      <c r="AA9" s="2">
        <v>502</v>
      </c>
      <c r="AB9" s="59">
        <f>DATE(A7,5,2)</f>
        <v>41396</v>
      </c>
      <c r="AC9" s="2">
        <v>512</v>
      </c>
      <c r="AD9" s="59">
        <f>DATE(A7,5,12)</f>
        <v>41406</v>
      </c>
      <c r="AE9" s="2">
        <v>27</v>
      </c>
      <c r="AF9" s="2">
        <v>1201</v>
      </c>
      <c r="AG9" s="59">
        <f>DATE(A7,12,1)</f>
        <v>41609</v>
      </c>
      <c r="AH9" s="59">
        <f>DATE(A7-1,12,1)</f>
        <v>41244</v>
      </c>
      <c r="AI9" s="44" t="e">
        <f>NA()</f>
        <v>#N/A</v>
      </c>
      <c r="AK9" s="2">
        <v>3</v>
      </c>
      <c r="AL9" s="62" t="s">
        <v>92</v>
      </c>
      <c r="AM9" s="63" t="s">
        <v>93</v>
      </c>
      <c r="AN9" s="64" t="s">
        <v>94</v>
      </c>
      <c r="AO9" s="63" t="s">
        <v>95</v>
      </c>
      <c r="AP9" s="64" t="s">
        <v>96</v>
      </c>
      <c r="AQ9" s="63" t="s">
        <v>97</v>
      </c>
      <c r="AR9" s="64" t="s">
        <v>98</v>
      </c>
      <c r="AS9" s="64" t="s">
        <v>99</v>
      </c>
      <c r="AU9" s="2">
        <v>3</v>
      </c>
      <c r="AV9" s="62" t="s">
        <v>92</v>
      </c>
      <c r="AW9" s="66" t="s">
        <v>99</v>
      </c>
      <c r="AX9" s="67" t="s">
        <v>100</v>
      </c>
      <c r="AY9" s="66" t="s">
        <v>101</v>
      </c>
      <c r="AZ9" s="67" t="s">
        <v>102</v>
      </c>
      <c r="BA9" s="67" t="s">
        <v>103</v>
      </c>
      <c r="BB9" s="67" t="s">
        <v>104</v>
      </c>
      <c r="BC9" s="67" t="s">
        <v>105</v>
      </c>
      <c r="BE9" s="2">
        <v>3</v>
      </c>
      <c r="BF9" s="62" t="s">
        <v>92</v>
      </c>
      <c r="BG9" s="68" t="s">
        <v>106</v>
      </c>
      <c r="BH9" s="69" t="s">
        <v>107</v>
      </c>
      <c r="BI9" s="68" t="s">
        <v>108</v>
      </c>
      <c r="BJ9" s="69" t="s">
        <v>109</v>
      </c>
      <c r="BK9" s="69" t="s">
        <v>110</v>
      </c>
      <c r="BL9" s="69" t="s">
        <v>111</v>
      </c>
      <c r="BM9" s="69" t="s">
        <v>112</v>
      </c>
    </row>
    <row r="10" spans="1:65" ht="12.75">
      <c r="A10" s="84" t="s">
        <v>113</v>
      </c>
      <c r="B10" s="85"/>
      <c r="C10" s="4"/>
      <c r="D10" s="48">
        <f>D7+7</f>
        <v>41252</v>
      </c>
      <c r="E10" s="49">
        <v>4</v>
      </c>
      <c r="F10" s="50" t="s">
        <v>114</v>
      </c>
      <c r="G10" s="86" t="str">
        <f>IF(ISBLANK(BG7),IF(MOD(A7,2),LOOKUP(E10,AK7:AM182),LOOKUP(E10,AU:AW)),IF(C27&gt;2,LOOKUP(E10,BE:BG),IF(C27=2,LOOKUP(E10,AU:AW),LOOKUP(E10,AK:AM))))</f>
        <v>Isaiah 5:1-7,</v>
      </c>
      <c r="H10" s="52" t="str">
        <f>IF(ISBLANK(BG7),IF(MOD(A7,2),LOOKUP(E10,AK7:AN182),LOOKUP(E10,AU:AX)),IF(C27&gt;2,LOOKUP(E10,BE:BH),IF(C27=2,LOOKUP(E10,AU:AX),LOOKUP(E10,AK:AN))))</f>
        <v>Isaiah 5:8-17,</v>
      </c>
      <c r="I10" s="52" t="str">
        <f>IF(ISBLANK(BG7),IF(MOD(A7,2),LOOKUP(E10,AK7:AO182),LOOKUP(E10,AU:AY)),IF(C27&gt;2,LOOKUP(E10,BE:BI),IF(C27=2,LOOKUP(E10,AU:AY),LOOKUP(E10,AK:AO))))</f>
        <v>Isaiah 5:18-25,</v>
      </c>
      <c r="J10" s="52" t="str">
        <f>IF(ISBLANK(BG7),IF(MOD(A7,2),LOOKUP(E10,AK7:AP182),LOOKUP(E10,AU:AZ)),IF(C27&gt;2,LOOKUP(E10,BE:BJ),IF(C27=2,LOOKUP(E10,AU:AZ),LOOKUP(E10,AK:AP))))</f>
        <v>Isaiah 6:1-13,</v>
      </c>
      <c r="K10" s="52" t="str">
        <f>IF(ISBLANK(BG7),IF(MOD(A7,2),LOOKUP(E10,AK7:AQ182),LOOKUP(E10,AU:BA)),IF(C27&gt;2,LOOKUP(E10,BE:BK),IF(C27=2,LOOKUP(E10,AU:BA),LOOKUP(E10,AK:AQ))))</f>
        <v>Isaiah 7:1-9,</v>
      </c>
      <c r="L10" s="52" t="str">
        <f>IF(ISBLANK(BG7),IF(MOD(A7,2),LOOKUP(E10,AK7:AR182),LOOKUP(E10,AU:BB)),IF(C27&gt;2,LOOKUP(E10,BE:BL),IF(C27=2,LOOKUP(E10,AU:BB),LOOKUP(E10,AK:AR))))</f>
        <v>Isaiah 7:10-25,</v>
      </c>
      <c r="M10" s="52" t="str">
        <f>IF(ISBLANK(BG7),IF(MOD(A7,2),LOOKUP(E10,AK7:AS182),LOOKUP(E10,AU:BC)),IF(C27&gt;2,LOOKUP(E10,BE:BM),IF(C27=2,LOOKUP(E10,AU:BC),LOOKUP(E10,AK:AS))))</f>
        <v>Isaiah 8:1-15,</v>
      </c>
      <c r="N10" s="55" t="s">
        <v>114</v>
      </c>
      <c r="O10" s="56">
        <f>D10</f>
        <v>41252</v>
      </c>
      <c r="P10" s="2">
        <v>2006</v>
      </c>
      <c r="Q10" s="60">
        <v>416</v>
      </c>
      <c r="R10" s="59">
        <f>DATE(P10,4,16)</f>
        <v>38823</v>
      </c>
      <c r="S10" s="59">
        <f>DATE(A7,3,25)</f>
        <v>41358</v>
      </c>
      <c r="T10" s="59">
        <f>DATE(A7-1,3,25)</f>
        <v>40993</v>
      </c>
      <c r="U10" s="2">
        <v>325</v>
      </c>
      <c r="V10" s="2">
        <v>2</v>
      </c>
      <c r="W10" s="2">
        <v>121</v>
      </c>
      <c r="X10" s="59">
        <f>DATE(A7,1,20)</f>
        <v>41294</v>
      </c>
      <c r="Y10" s="2">
        <v>207</v>
      </c>
      <c r="Z10" s="12">
        <f>DATE(A7,2,7)</f>
        <v>41312</v>
      </c>
      <c r="AA10" s="2">
        <v>503</v>
      </c>
      <c r="AB10" s="59">
        <f>DATE(A7,5,3)</f>
        <v>41397</v>
      </c>
      <c r="AC10" s="2">
        <v>513</v>
      </c>
      <c r="AD10" s="59">
        <f>DATE(A7,5,13)</f>
        <v>41407</v>
      </c>
      <c r="AE10" s="2">
        <v>27</v>
      </c>
      <c r="AF10" s="2">
        <v>1202</v>
      </c>
      <c r="AG10" s="59">
        <f>DATE(A7,12,2)</f>
        <v>41610</v>
      </c>
      <c r="AH10" s="59">
        <f>DATE(A7-1,12,2)</f>
        <v>41245</v>
      </c>
      <c r="AI10" s="44" t="e">
        <f>NA()</f>
        <v>#N/A</v>
      </c>
      <c r="AK10" s="2">
        <v>4</v>
      </c>
      <c r="AL10" s="87" t="s">
        <v>115</v>
      </c>
      <c r="AM10" s="88" t="s">
        <v>116</v>
      </c>
      <c r="AN10" s="89" t="s">
        <v>117</v>
      </c>
      <c r="AO10" s="88" t="s">
        <v>118</v>
      </c>
      <c r="AP10" s="89" t="s">
        <v>119</v>
      </c>
      <c r="AQ10" s="88" t="s">
        <v>120</v>
      </c>
      <c r="AR10" s="89" t="s">
        <v>121</v>
      </c>
      <c r="AS10" s="89" t="s">
        <v>122</v>
      </c>
      <c r="AU10" s="2">
        <v>4</v>
      </c>
      <c r="AV10" s="87" t="s">
        <v>115</v>
      </c>
      <c r="AW10" s="90" t="s">
        <v>123</v>
      </c>
      <c r="AX10" s="91" t="s">
        <v>124</v>
      </c>
      <c r="AY10" s="90" t="s">
        <v>125</v>
      </c>
      <c r="AZ10" s="91" t="s">
        <v>126</v>
      </c>
      <c r="BA10" s="90" t="s">
        <v>127</v>
      </c>
      <c r="BB10" s="91" t="s">
        <v>128</v>
      </c>
      <c r="BC10" s="91" t="s">
        <v>129</v>
      </c>
      <c r="BE10" s="2">
        <v>4</v>
      </c>
      <c r="BF10" s="87" t="s">
        <v>115</v>
      </c>
      <c r="BG10" s="68" t="s">
        <v>130</v>
      </c>
      <c r="BH10" s="69" t="s">
        <v>131</v>
      </c>
      <c r="BI10" s="68" t="s">
        <v>132</v>
      </c>
      <c r="BJ10" s="69" t="s">
        <v>133</v>
      </c>
      <c r="BK10" s="69" t="s">
        <v>134</v>
      </c>
      <c r="BL10" s="69" t="s">
        <v>135</v>
      </c>
      <c r="BM10" s="69" t="s">
        <v>136</v>
      </c>
    </row>
    <row r="11" spans="1:65" ht="12.75">
      <c r="A11" s="92"/>
      <c r="B11" s="71"/>
      <c r="C11" s="4"/>
      <c r="D11" s="72"/>
      <c r="E11" s="73">
        <v>5</v>
      </c>
      <c r="F11" s="74"/>
      <c r="G11" s="75" t="str">
        <f>IF(ISBLANK(BG7),IF(MOD(A7,2),LOOKUP(E11,AK7:AM182),LOOKUP(E11,AU:AW)),IF(C27&gt;2,LOOKUP(E11,BE:BG),IF(C27=2,LOOKUP(E11,AU:AW),LOOKUP(E11,AK:AM))))</f>
        <v>2 Peter 3:11-18,</v>
      </c>
      <c r="H11" s="93" t="str">
        <f>IF(ISBLANK(BG7),IF(MOD(A7,2),LOOKUP(E11,AK7:AN182),LOOKUP(E11,AU:AX)),IF(C27&gt;2,LOOKUP(E11,BE:BH),IF(C27=2,LOOKUP(E11,AU:AX),LOOKUP(E11,AK:AN))))</f>
        <v>1 Thessalonians 5:1-11,</v>
      </c>
      <c r="I11" s="93" t="str">
        <f>IF(ISBLANK(BG7),IF(MOD(A7,2),LOOKUP(E11,AK7:AO182),LOOKUP(E11,AU:AY)),IF(C27&gt;2,LOOKUP(E11,BE:BI),IF(C27=2,LOOKUP(E11,AU:AY),LOOKUP(E11,AK:AO))))</f>
        <v>1 Thessalonians 5:12-28,</v>
      </c>
      <c r="J11" s="93" t="str">
        <f>IF(ISBLANK(BG7),IF(MOD(A7,2),LOOKUP(E11,AK7:AP182),LOOKUP(E11,AU:AZ)),IF(C27&gt;2,LOOKUP(E11,BE:BJ),IF(C27=2,LOOKUP(E11,AU:AZ),LOOKUP(E11,AK:AP))))</f>
        <v>2 Thessalonians 1:1-12,</v>
      </c>
      <c r="K11" s="93" t="str">
        <f>IF(ISBLANK(BG7),IF(MOD(A7,2),LOOKUP(E11,AK7:AQ182),LOOKUP(E11,AU:BA)),IF(C27&gt;2,LOOKUP(E11,BE:BK),IF(C27=2,LOOKUP(E11,AU:BA),LOOKUP(E11,AK:AQ))))</f>
        <v>2 Thessalonians 2:1-12,</v>
      </c>
      <c r="L11" s="93" t="str">
        <f>IF(ISBLANK(BG7),IF(MOD(A7,2),LOOKUP(E11,AK7:AR182),LOOKUP(E11,AU:BB)),IF(C27&gt;2,LOOKUP(E11,BE:BL),IF(C27=2,LOOKUP(E11,AU:BB),LOOKUP(E11,AK:AR))))</f>
        <v>2 Thessalonians 2:13-3:5,</v>
      </c>
      <c r="M11" s="93" t="str">
        <f>IF(ISBLANK(BG7),IF(MOD(A7,2),LOOKUP(E11,AK7:AS182),LOOKUP(E11,AU:BC)),IF(C27&gt;2,LOOKUP(E11,BE:BM),IF(C27=2,LOOKUP(E11,AU:BC),LOOKUP(E11,AK:AS))))</f>
        <v>2 Thessalonians 3:6-18,</v>
      </c>
      <c r="N11" s="77"/>
      <c r="O11" s="78"/>
      <c r="P11" s="2">
        <v>2007</v>
      </c>
      <c r="Q11" s="60">
        <v>408</v>
      </c>
      <c r="R11" s="59">
        <f>DATE(P11,4,8)</f>
        <v>39180</v>
      </c>
      <c r="S11" s="59">
        <f>DATE(A7,3,26)</f>
        <v>41359</v>
      </c>
      <c r="T11" s="59">
        <f>DATE(A7-1,3,26)</f>
        <v>40994</v>
      </c>
      <c r="U11" s="2">
        <v>326</v>
      </c>
      <c r="V11" s="2">
        <v>2</v>
      </c>
      <c r="W11" s="2">
        <v>122</v>
      </c>
      <c r="X11" s="59">
        <f>DATE(A7,1,22)</f>
        <v>41296</v>
      </c>
      <c r="Y11" s="2">
        <v>208</v>
      </c>
      <c r="Z11" s="12">
        <f>DATE(A7,2,8)</f>
        <v>41313</v>
      </c>
      <c r="AA11" s="2">
        <v>504</v>
      </c>
      <c r="AB11" s="59">
        <f>DATE(A7,5,4)</f>
        <v>41398</v>
      </c>
      <c r="AC11" s="2">
        <v>514</v>
      </c>
      <c r="AD11" s="59">
        <f>DATE(A7,5,14)</f>
        <v>41408</v>
      </c>
      <c r="AE11" s="2">
        <v>27</v>
      </c>
      <c r="AF11" s="2">
        <v>1203</v>
      </c>
      <c r="AG11" s="59">
        <f>DATE(A7,12,3)</f>
        <v>41611</v>
      </c>
      <c r="AH11" s="59">
        <f>DATE(A7-1,12,3)</f>
        <v>41246</v>
      </c>
      <c r="AI11" s="44"/>
      <c r="AK11" s="2">
        <v>5</v>
      </c>
      <c r="AL11" s="62" t="s">
        <v>137</v>
      </c>
      <c r="AM11" s="63" t="s">
        <v>80</v>
      </c>
      <c r="AN11" s="64" t="s">
        <v>77</v>
      </c>
      <c r="AO11" s="63" t="s">
        <v>138</v>
      </c>
      <c r="AP11" s="64" t="s">
        <v>139</v>
      </c>
      <c r="AQ11" s="63" t="s">
        <v>140</v>
      </c>
      <c r="AR11" s="64" t="s">
        <v>141</v>
      </c>
      <c r="AS11" s="64" t="s">
        <v>142</v>
      </c>
      <c r="AU11" s="2">
        <v>5</v>
      </c>
      <c r="AV11" s="62" t="s">
        <v>137</v>
      </c>
      <c r="AW11" s="66" t="s">
        <v>143</v>
      </c>
      <c r="AX11" s="67" t="s">
        <v>144</v>
      </c>
      <c r="AY11" s="66" t="s">
        <v>145</v>
      </c>
      <c r="AZ11" s="67" t="s">
        <v>146</v>
      </c>
      <c r="BA11" s="67" t="s">
        <v>147</v>
      </c>
      <c r="BB11" s="67" t="s">
        <v>148</v>
      </c>
      <c r="BC11" s="67" t="s">
        <v>149</v>
      </c>
      <c r="BE11" s="2">
        <v>5</v>
      </c>
      <c r="BF11" s="62" t="s">
        <v>137</v>
      </c>
      <c r="BG11" s="68" t="s">
        <v>150</v>
      </c>
      <c r="BH11" s="69" t="s">
        <v>151</v>
      </c>
      <c r="BI11" s="68" t="s">
        <v>152</v>
      </c>
      <c r="BJ11" s="69" t="s">
        <v>153</v>
      </c>
      <c r="BK11" s="69" t="s">
        <v>154</v>
      </c>
      <c r="BL11" s="69" t="s">
        <v>155</v>
      </c>
      <c r="BM11" s="69" t="s">
        <v>156</v>
      </c>
    </row>
    <row r="12" spans="1:65" ht="12.75">
      <c r="A12" s="94" t="s">
        <v>157</v>
      </c>
      <c r="B12" s="95">
        <f>IF(ISBLANK(BG7),C23,C27)</f>
        <v>1</v>
      </c>
      <c r="C12" s="4"/>
      <c r="D12" s="81"/>
      <c r="E12" s="96">
        <v>6</v>
      </c>
      <c r="F12" s="97"/>
      <c r="G12" s="82" t="str">
        <f>IF(ISBLANK(BG7),IF(MOD(A7,2),LOOKUP(E12,AK7:AM182),LOOKUP(E12,AU:AW)),IF(C27&gt;2,LOOKUP(E12,BE:BG),IF(C27=2,LOOKUP(E12,AU:AW),LOOKUP(E12,AK:AM))))</f>
        <v>Luke 7:28-35</v>
      </c>
      <c r="H12" s="83" t="str">
        <f>IF(ISBLANK(BG7),IF(MOD(A7,2),LOOKUP(E12,AK7:AN182),LOOKUP(E12,AU:AX)),IF(C27&gt;2,LOOKUP(E12,BE:BH),IF(C27=2,LOOKUP(E12,AU:AX),LOOKUP(E12,AK:AN))))</f>
        <v>Luke 21:20-28</v>
      </c>
      <c r="I12" s="83" t="str">
        <f>IF(ISBLANK(BG7),IF(MOD(A7,2),LOOKUP(E12,AK7:AO182),LOOKUP(E12,AU:AY)),IF(C27&gt;2,LOOKUP(E12,BE:BI),IF(C27=2,LOOKUP(E12,AU:AY),LOOKUP(E12,AK:AO))))</f>
        <v>Luke 21:29-38</v>
      </c>
      <c r="J12" s="83" t="str">
        <f>IF(ISBLANK(BG7),IF(MOD(A7,2),LOOKUP(E12,AK7:AP182),LOOKUP(E12,AU:AZ)),IF(C27&gt;2,LOOKUP(E12,BE:BJ),IF(C27=2,LOOKUP(E12,AU:AZ),LOOKUP(E12,AK:AP))))</f>
        <v>John 7:53-8:11</v>
      </c>
      <c r="K12" s="83" t="str">
        <f>IF(ISBLANK(BG7),IF(MOD(A7,2),LOOKUP(E12,AK7:AQ182),LOOKUP(E12,AU:BA)),IF(C27&gt;2,LOOKUP(E12,BE:BK),IF(C27=2,LOOKUP(E12,AU:BA),LOOKUP(E12,AK:AQ))))</f>
        <v>Luke 22:1-13</v>
      </c>
      <c r="L12" s="83" t="str">
        <f>IF(ISBLANK(BG7),IF(MOD(A7,2),LOOKUP(E12,AK7:AR182),LOOKUP(E12,AU:BB)),IF(C27&gt;2,LOOKUP(E12,BE:BL),IF(C27=2,LOOKUP(E12,AU:BB),LOOKUP(E12,AK:AR))))</f>
        <v>Luke 22:14-30</v>
      </c>
      <c r="M12" s="83" t="str">
        <f>IF(ISBLANK(BG7),IF(MOD(A7,2),LOOKUP(E12,AK7:AS182),LOOKUP(E12,AU:BC)),IF(C27&gt;2,LOOKUP(E12,BE:BM),IF(C27=2,LOOKUP(E12,AU:BC),LOOKUP(E12,AK:AS))))</f>
        <v>Luke 22:31-38</v>
      </c>
      <c r="N12" s="98"/>
      <c r="O12" s="99"/>
      <c r="P12" s="2">
        <v>2008</v>
      </c>
      <c r="Q12" s="2">
        <v>323</v>
      </c>
      <c r="R12" s="59">
        <f>DATE(P12,3,23)</f>
        <v>39530</v>
      </c>
      <c r="S12" s="59">
        <f>DATE(A7,3,27)</f>
        <v>41360</v>
      </c>
      <c r="T12" s="59">
        <f>DATE(A7-1,3,27)</f>
        <v>40995</v>
      </c>
      <c r="U12" s="2">
        <v>327</v>
      </c>
      <c r="V12" s="2">
        <v>2</v>
      </c>
      <c r="W12" s="2">
        <v>123</v>
      </c>
      <c r="X12" s="59">
        <f>DATE(A7,1,23)</f>
        <v>41297</v>
      </c>
      <c r="Y12" s="2">
        <v>209</v>
      </c>
      <c r="Z12" s="12">
        <f>DATE(A7,2,9)</f>
        <v>41314</v>
      </c>
      <c r="AA12" s="2">
        <v>505</v>
      </c>
      <c r="AB12" s="59">
        <f>DATE(A7,5,5)</f>
        <v>41399</v>
      </c>
      <c r="AC12" s="2">
        <v>515</v>
      </c>
      <c r="AD12" s="59">
        <f>DATE(A7,5,15)</f>
        <v>41409</v>
      </c>
      <c r="AE12" s="2">
        <v>26</v>
      </c>
      <c r="AF12" s="2">
        <v>1127</v>
      </c>
      <c r="AG12" s="59">
        <f>DATE(A7,11,27)</f>
        <v>41605</v>
      </c>
      <c r="AH12" s="59">
        <f>DATE(A7-1,11,27)</f>
        <v>41240</v>
      </c>
      <c r="AI12" s="44"/>
      <c r="AK12" s="2">
        <v>6</v>
      </c>
      <c r="AL12" s="100" t="s">
        <v>158</v>
      </c>
      <c r="AM12" s="101" t="s">
        <v>159</v>
      </c>
      <c r="AN12" s="102" t="s">
        <v>160</v>
      </c>
      <c r="AO12" s="101" t="s">
        <v>161</v>
      </c>
      <c r="AP12" s="102" t="s">
        <v>162</v>
      </c>
      <c r="AQ12" s="101" t="s">
        <v>163</v>
      </c>
      <c r="AR12" s="102" t="s">
        <v>164</v>
      </c>
      <c r="AS12" s="102" t="s">
        <v>165</v>
      </c>
      <c r="AU12" s="2">
        <v>6</v>
      </c>
      <c r="AV12" s="100" t="s">
        <v>158</v>
      </c>
      <c r="AW12" s="103" t="s">
        <v>166</v>
      </c>
      <c r="AX12" s="104" t="s">
        <v>167</v>
      </c>
      <c r="AY12" s="103" t="s">
        <v>168</v>
      </c>
      <c r="AZ12" s="104" t="s">
        <v>169</v>
      </c>
      <c r="BA12" s="103" t="s">
        <v>170</v>
      </c>
      <c r="BB12" s="104" t="s">
        <v>171</v>
      </c>
      <c r="BC12" s="104" t="s">
        <v>172</v>
      </c>
      <c r="BE12" s="2">
        <v>6</v>
      </c>
      <c r="BF12" s="100" t="s">
        <v>158</v>
      </c>
      <c r="BG12" s="68" t="s">
        <v>173</v>
      </c>
      <c r="BH12" s="69" t="s">
        <v>174</v>
      </c>
      <c r="BI12" s="68" t="s">
        <v>175</v>
      </c>
      <c r="BJ12" s="69" t="s">
        <v>176</v>
      </c>
      <c r="BK12" s="69" t="s">
        <v>177</v>
      </c>
      <c r="BL12" s="69" t="s">
        <v>178</v>
      </c>
      <c r="BM12" s="69" t="s">
        <v>179</v>
      </c>
    </row>
    <row r="13" spans="1:65" ht="12.75">
      <c r="A13" s="94" t="s">
        <v>180</v>
      </c>
      <c r="B13" s="105">
        <f>LOOKUP(A7,P6:R85)</f>
        <v>41364</v>
      </c>
      <c r="C13" s="4"/>
      <c r="D13" s="48">
        <f>D7+14</f>
        <v>41259</v>
      </c>
      <c r="E13" s="49">
        <v>7</v>
      </c>
      <c r="F13" s="50" t="s">
        <v>181</v>
      </c>
      <c r="G13" s="106" t="str">
        <f>IF(ISBLANK(BG7),IF(MOD(A7,2),LOOKUP(E13,AK7:AM182),LOOKUP(E13,AU:AW)),IF(C27&gt;2,LOOKUP(E13,BE:BG),IF(C27=2,LOOKUP(E13,AU:AW),LOOKUP(E13,AK:AM))))</f>
        <v>Isaiah 13:1-13,</v>
      </c>
      <c r="H13" s="107" t="str">
        <f>IF(ISBLANK(BG7),IF(MOD(A7,2),LOOKUP(E13,AK7:AN182),LOOKUP(E13,AU:AX)),IF(C27&gt;2,LOOKUP(E13,BE:BH),IF(C27=2,LOOKUP(E13,AU:AX),LOOKUP(E13,AK:AN))))</f>
        <v>Isaiah 8:16-9:1,</v>
      </c>
      <c r="I13" s="52" t="str">
        <f>IF(ISBLANK(BG7),IF(MOD(A7,2),LOOKUP(E13,AK7:AO182),LOOKUP(E13,AU:AY)),IF(C27&gt;2,LOOKUP(E13,BE:BI),IF(C27=2,LOOKUP(E13,AU:AY),LOOKUP(E13,AK:AO))))</f>
        <v>Isaiah 9:2-7,</v>
      </c>
      <c r="J13" s="52" t="str">
        <f>IF(ISBLANK(BG7),IF(MOD(A7,2),LOOKUP(E13,AK7:AP182),LOOKUP(E13,AU:AZ)),IF(C27&gt;2,LOOKUP(E13,BE:BJ),IF(C27=2,LOOKUP(E13,AU:AZ),LOOKUP(E13,AK:AP))))</f>
        <v>Isaiah 9:8-17,</v>
      </c>
      <c r="K13" s="52" t="str">
        <f>IF(ISBLANK(BG7),IF(MOD(A7,2),LOOKUP(E13,AK7:AQ182),LOOKUP(E13,AU:BA)),IF(C27&gt;2,LOOKUP(E13,BE:BK),IF(C27=2,LOOKUP(E13,AU:BA),LOOKUP(E13,AK:AQ))))</f>
        <v>Isaiah 9:18-10:4,</v>
      </c>
      <c r="L13" s="52" t="str">
        <f>IF(ISBLANK(BG7),IF(MOD(A7,2),LOOKUP(E13,AK7:AR182),LOOKUP(E13,AU:BB)),IF(C27&gt;2,LOOKUP(E13,BE:BL),IF(C27=2,LOOKUP(E13,AU:BB),LOOKUP(E13,AK:AR))))</f>
        <v>Isaiah 10:5-19,</v>
      </c>
      <c r="M13" s="108" t="str">
        <f>IF(ISBLANK(BG7),IF(MOD(A7,2),LOOKUP(E13,AK7:AS182),LOOKUP(E13,AU:BC)),IF(C27&gt;2,LOOKUP(E13,BE:BM),IF(C27=2,LOOKUP(E13,AU:BC),LOOKUP(E13,AK:AS))))</f>
        <v>Isaiah 10:20-27,</v>
      </c>
      <c r="N13" s="55" t="s">
        <v>182</v>
      </c>
      <c r="O13" s="109">
        <f>D13</f>
        <v>41259</v>
      </c>
      <c r="P13" s="2">
        <v>2009</v>
      </c>
      <c r="Q13" s="2">
        <v>412</v>
      </c>
      <c r="R13" s="59">
        <f>DATE(P13,4,12)</f>
        <v>39915</v>
      </c>
      <c r="S13" s="59">
        <f>DATE(A7,3,28)</f>
        <v>41361</v>
      </c>
      <c r="T13" s="59">
        <f>DATE(A7-1,3,28)</f>
        <v>40996</v>
      </c>
      <c r="U13" s="2">
        <v>328</v>
      </c>
      <c r="V13" s="2">
        <v>2</v>
      </c>
      <c r="W13" s="2">
        <v>124</v>
      </c>
      <c r="X13" s="59">
        <f>DATE(A7,1,24)</f>
        <v>41298</v>
      </c>
      <c r="Y13" s="2">
        <v>210</v>
      </c>
      <c r="Z13" s="12">
        <f>DATE(A7,2,10)</f>
        <v>41315</v>
      </c>
      <c r="AA13" s="2">
        <v>506</v>
      </c>
      <c r="AB13" s="59">
        <f>DATE(A7,5,6)</f>
        <v>41400</v>
      </c>
      <c r="AC13" s="2">
        <v>516</v>
      </c>
      <c r="AD13" s="59">
        <f>DATE(A7,5,16)</f>
        <v>41410</v>
      </c>
      <c r="AE13" s="2">
        <v>26</v>
      </c>
      <c r="AF13" s="2">
        <v>1128</v>
      </c>
      <c r="AG13" s="59">
        <f>DATE(A7,11,28)</f>
        <v>41606</v>
      </c>
      <c r="AH13" s="59">
        <f>DATE(A7-1,11,28)</f>
        <v>41241</v>
      </c>
      <c r="AI13" s="44"/>
      <c r="AK13" s="2">
        <v>7</v>
      </c>
      <c r="AL13" s="87" t="s">
        <v>183</v>
      </c>
      <c r="AM13" s="88" t="s">
        <v>184</v>
      </c>
      <c r="AN13" s="89" t="s">
        <v>185</v>
      </c>
      <c r="AO13" s="88" t="s">
        <v>186</v>
      </c>
      <c r="AP13" s="89" t="s">
        <v>187</v>
      </c>
      <c r="AQ13" s="88" t="s">
        <v>188</v>
      </c>
      <c r="AR13" s="89" t="s">
        <v>189</v>
      </c>
      <c r="AS13" s="89" t="s">
        <v>190</v>
      </c>
      <c r="AU13" s="2">
        <v>7</v>
      </c>
      <c r="AV13" s="87" t="s">
        <v>183</v>
      </c>
      <c r="AW13" s="90" t="s">
        <v>191</v>
      </c>
      <c r="AX13" s="91" t="s">
        <v>192</v>
      </c>
      <c r="AY13" s="90" t="s">
        <v>193</v>
      </c>
      <c r="AZ13" s="91" t="s">
        <v>194</v>
      </c>
      <c r="BA13" s="90" t="s">
        <v>195</v>
      </c>
      <c r="BB13" s="91" t="s">
        <v>196</v>
      </c>
      <c r="BC13" s="91" t="s">
        <v>197</v>
      </c>
      <c r="BE13" s="2">
        <v>7</v>
      </c>
      <c r="BF13" s="87" t="s">
        <v>183</v>
      </c>
      <c r="BG13" s="68" t="s">
        <v>198</v>
      </c>
      <c r="BH13" s="69" t="s">
        <v>199</v>
      </c>
      <c r="BI13" s="68" t="s">
        <v>200</v>
      </c>
      <c r="BJ13" s="69" t="s">
        <v>201</v>
      </c>
      <c r="BK13" s="69" t="s">
        <v>202</v>
      </c>
      <c r="BL13" s="69" t="s">
        <v>203</v>
      </c>
      <c r="BM13" s="69" t="s">
        <v>204</v>
      </c>
    </row>
    <row r="14" spans="1:65" ht="12.75">
      <c r="A14" s="94" t="s">
        <v>205</v>
      </c>
      <c r="B14" s="47">
        <f>B15+2</f>
        <v>4</v>
      </c>
      <c r="C14" s="4"/>
      <c r="D14" s="72"/>
      <c r="E14" s="73">
        <v>8</v>
      </c>
      <c r="F14" s="74"/>
      <c r="G14" s="110" t="str">
        <f>IF(ISBLANK(BG7),IF(MOD(A7,2),LOOKUP(E14,AK7:AM182),LOOKUP(E14,AU:AW)),IF(C27&gt;2,LOOKUP(E14,BE:BG),IF(C14=2,LOOKUP(E14,AU:AW),LOOKUP(E14,AK:AM))))</f>
        <v>Hebrews 12:18-29,</v>
      </c>
      <c r="H14" s="75" t="str">
        <f>IF(ISBLANK(BG7),IF(MOD(A7,2),LOOKUP(E14,AK7:AN182),LOOKUP(E14,AU:AX)),IF(C27&gt;2,LOOKUP(E14,BE:BH),IF(C27=2,LOOKUP(E14,AU:AX),LOOKUP(E14,AK:AN))))</f>
        <v>2 Peter 1:1-11,</v>
      </c>
      <c r="I14" s="93" t="str">
        <f>IF(ISBLANK(BG7),IF(MOD(A7,2),LOOKUP(E14,AK7:AO182),LOOKUP(E14,AU:AY)),IF(C27&gt;2,LOOKUP(E14,BE:BI),IF(C27=2,LOOKUP(E14,AU:AY),LOOKUP(E14,AK:AO))))</f>
        <v>2 Peter 1:12-21,</v>
      </c>
      <c r="J14" s="76" t="str">
        <f>IF(ISBLANK(BG7),IF(MOD(A7,2),LOOKUP(E14,AK7:AP182),LOOKUP(E14,AU:AZ)),IF(C27&gt;2,LOOKUP(E14,BE:BJ),IF(C27=2,LOOKUP(E14,AU:AZ),LOOKUP(E14,AK:AP))))</f>
        <v>2 Peter 2:1-10a,</v>
      </c>
      <c r="K14" s="93" t="str">
        <f>IF(ISBLANK(BG7),IF(MOD(A7,2),LOOKUP(E14,AK7:AQ182),LOOKUP(E14,AU:BA)),IF(C27&gt;2,LOOKUP(E14,BE:BK),IF(C27=2,LOOKUP(E14,AU:BA),LOOKUP(E14,AK:AQ))))</f>
        <v>2 Peter 2:10b-16,</v>
      </c>
      <c r="L14" s="93" t="str">
        <f>IF(ISBLANK(BG7),IF(MOD(A7,2),LOOKUP(E14,AK7:AR182),LOOKUP(E14,AU:BB)),IF(C27&gt;2,LOOKUP(E14,BE:BL),IF(C27=2,LOOKUP(E14,AU:BB),LOOKUP(E14,AK:AR))))</f>
        <v>2 Peter 2:17-22,</v>
      </c>
      <c r="M14" s="111" t="str">
        <f>IF(ISBLANK(BG7),IF(MOD(A7,2),LOOKUP(E14,AK7:AS182),LOOKUP(E14,AU:BC)),IF(C27&gt;2,LOOKUP(E14,BE:BM),IF(C27=2,LOOKUP(E14,AU:BC),LOOKUP(E14,AK:AS))))</f>
        <v>Jude 17-25,</v>
      </c>
      <c r="N14" s="77"/>
      <c r="O14" s="78"/>
      <c r="P14" s="2">
        <v>2010</v>
      </c>
      <c r="Q14" s="2">
        <v>404</v>
      </c>
      <c r="R14" s="59">
        <f>DATE(P14,4,4)</f>
        <v>40272</v>
      </c>
      <c r="S14" s="59">
        <f>DATE(A7,3,29)</f>
        <v>41362</v>
      </c>
      <c r="T14" s="59">
        <f>DATE(A7-1,3,29)</f>
        <v>40997</v>
      </c>
      <c r="U14" s="2">
        <v>329</v>
      </c>
      <c r="V14" s="2">
        <v>2</v>
      </c>
      <c r="W14" s="2">
        <v>125</v>
      </c>
      <c r="X14" s="59">
        <f>DATE(A7,1,25)</f>
        <v>41299</v>
      </c>
      <c r="Y14" s="2">
        <v>211</v>
      </c>
      <c r="Z14" s="12">
        <f>DATE(A7,2,11)</f>
        <v>41316</v>
      </c>
      <c r="AA14" s="2">
        <v>507</v>
      </c>
      <c r="AB14" s="59">
        <f>DATE(A7,5,7)</f>
        <v>41401</v>
      </c>
      <c r="AC14" s="2">
        <v>517</v>
      </c>
      <c r="AD14" s="59">
        <f>DATE(A7,5,17)</f>
        <v>41411</v>
      </c>
      <c r="AE14" s="2">
        <v>26</v>
      </c>
      <c r="AF14" s="2">
        <v>1129</v>
      </c>
      <c r="AG14" s="59">
        <f>DATE(A7,11,29)</f>
        <v>41607</v>
      </c>
      <c r="AH14" s="59">
        <f>DATE(A7-1,11,29)</f>
        <v>41242</v>
      </c>
      <c r="AI14" s="44"/>
      <c r="AK14" s="2">
        <v>8</v>
      </c>
      <c r="AL14" s="62" t="s">
        <v>206</v>
      </c>
      <c r="AM14" s="63" t="s">
        <v>207</v>
      </c>
      <c r="AN14" s="64" t="s">
        <v>208</v>
      </c>
      <c r="AO14" s="63" t="s">
        <v>79</v>
      </c>
      <c r="AP14" s="64" t="s">
        <v>209</v>
      </c>
      <c r="AQ14" s="64" t="s">
        <v>210</v>
      </c>
      <c r="AR14" s="64" t="s">
        <v>211</v>
      </c>
      <c r="AS14" s="64" t="s">
        <v>82</v>
      </c>
      <c r="AU14" s="2">
        <v>8</v>
      </c>
      <c r="AV14" s="62" t="s">
        <v>206</v>
      </c>
      <c r="AW14" s="66" t="s">
        <v>212</v>
      </c>
      <c r="AX14" s="67" t="s">
        <v>213</v>
      </c>
      <c r="AY14" s="66" t="s">
        <v>214</v>
      </c>
      <c r="AZ14" s="67" t="s">
        <v>215</v>
      </c>
      <c r="BA14" s="67" t="s">
        <v>216</v>
      </c>
      <c r="BB14" s="67" t="s">
        <v>217</v>
      </c>
      <c r="BC14" s="67" t="s">
        <v>218</v>
      </c>
      <c r="BE14" s="2">
        <v>8</v>
      </c>
      <c r="BF14" s="62" t="s">
        <v>206</v>
      </c>
      <c r="BG14" s="68" t="s">
        <v>219</v>
      </c>
      <c r="BH14" s="69" t="s">
        <v>220</v>
      </c>
      <c r="BI14" s="68" t="s">
        <v>221</v>
      </c>
      <c r="BJ14" s="69" t="s">
        <v>222</v>
      </c>
      <c r="BK14" s="69" t="s">
        <v>223</v>
      </c>
      <c r="BL14" s="69" t="s">
        <v>224</v>
      </c>
      <c r="BM14" s="69" t="s">
        <v>225</v>
      </c>
    </row>
    <row r="15" spans="1:65" ht="12.75">
      <c r="A15" s="94" t="s">
        <v>226</v>
      </c>
      <c r="B15" s="47">
        <f>IF(B7="leap Year",LOOKUP(B13+1,S6:V152),LOOKUP(B13,S6:V152))</f>
        <v>2</v>
      </c>
      <c r="C15" s="4"/>
      <c r="D15" s="81"/>
      <c r="E15" s="96">
        <v>9</v>
      </c>
      <c r="F15" s="97"/>
      <c r="G15" s="112" t="str">
        <f>IF(ISBLANK(BG7),IF(MOD(A7,2),LOOKUP(E15,AK7:AM182),LOOKUP(E15,AU:AW)),IF(C27&gt;2,LOOKUP(E15,BE:BG),IF(C27=2,LOOKUP(E15,AU:AW),LOOKUP(E15,AK:AM))))</f>
        <v>John 3:22-30</v>
      </c>
      <c r="H15" s="82" t="str">
        <f>IF(ISBLANK(BG7),IF(MOD(A7,2),LOOKUP(E15,AK7:AN182),LOOKUP(E15,AU:AX)),IF(C27&gt;2,LOOKUP(E15,BE:BH),IF(C27=2,LOOKUP(E15,AU:AX),LOOKUP(E15,AK:AN))))</f>
        <v>Luke 22:39-53</v>
      </c>
      <c r="I15" s="83" t="str">
        <f>IF(ISBLANK(BG7),IF(MOD(A7,2),LOOKUP(E15,AK7:AO182),LOOKUP(E15,AU:AY)),IF(C27&gt;2,LOOKUP(E15,BE:BI),IF(C27=2,LOOKUP(E15,AU:AY),LOOKUP(E15,AK:AO))))</f>
        <v>Luke 22:54-69</v>
      </c>
      <c r="J15" s="83" t="str">
        <f>IF(ISBLANK(BG7),IF(MOD(A7,2),LOOKUP(E15,AK7:AP182),LOOKUP(E15,AU:AZ)),IF(C27&gt;2,LOOKUP(E15,BE:BJ),IF(C27=2,LOOKUP(E15,AU:AZ),LOOKUP(E15,AK:AP))))</f>
        <v>Mark 1:1-8</v>
      </c>
      <c r="K15" s="83" t="str">
        <f>IF(ISBLANK(BG7),IF(MOD(A7,2),LOOKUP(E15,AK7:AQ182),LOOKUP(E15,AU:BA)),IF(C27&gt;2,LOOKUP(E15,BE:BK),IF(C27=2,LOOKUP(E15,AU:BA),LOOKUP(E15,AK:AQ))))</f>
        <v>Matthew 3:1-12</v>
      </c>
      <c r="L15" s="83" t="str">
        <f>IF(ISBLANK(BG7),IF(MOD(A7,2),LOOKUP(E15,AK7:AR182),LOOKUP(E15,AU:BB)),IF(C27&gt;2,LOOKUP(E15,BE:BL),IF(C27=2,LOOKUP(E15,AU:BB),LOOKUP(E15,AK:AR))))</f>
        <v>Matthew 11:2-15</v>
      </c>
      <c r="M15" s="113" t="str">
        <f>IF(ISBLANK(BG7),IF(MOD(A7,2),LOOKUP(E15,AK7:AS182),LOOKUP(E15,AU:BC)),IF(C27&gt;2,LOOKUP(E15,BE:BM),IF(C27=2,LOOKUP(E15,AU:BC),LOOKUP(E15,AK:AS))))</f>
        <v>Luke 3:1-9</v>
      </c>
      <c r="N15" s="98"/>
      <c r="O15" s="78"/>
      <c r="P15" s="2">
        <v>2011</v>
      </c>
      <c r="Q15" s="2">
        <v>424</v>
      </c>
      <c r="R15" s="59">
        <f>DATE(P15,4,24)</f>
        <v>40657</v>
      </c>
      <c r="S15" s="59">
        <f>DATE(A7,3,30)</f>
        <v>41363</v>
      </c>
      <c r="T15" s="59">
        <f>DATE(A7-1,3,30)</f>
        <v>40998</v>
      </c>
      <c r="U15" s="2">
        <v>330</v>
      </c>
      <c r="V15" s="2">
        <v>2</v>
      </c>
      <c r="W15" s="2">
        <v>126</v>
      </c>
      <c r="X15" s="59">
        <f>DATE(A7,1,26)</f>
        <v>41300</v>
      </c>
      <c r="Y15" s="2">
        <v>212</v>
      </c>
      <c r="Z15" s="12">
        <f>DATE(A7,2,12)</f>
        <v>41317</v>
      </c>
      <c r="AA15" s="2">
        <v>508</v>
      </c>
      <c r="AB15" s="59">
        <f>DATE(A7,5,8)</f>
        <v>41402</v>
      </c>
      <c r="AC15" s="2">
        <v>518</v>
      </c>
      <c r="AD15" s="59">
        <f>DATE(A7,5,18)</f>
        <v>41412</v>
      </c>
      <c r="AE15" s="2">
        <v>26</v>
      </c>
      <c r="AF15" s="2">
        <v>1130</v>
      </c>
      <c r="AG15" s="59">
        <f>DATE(A7,11,30)</f>
        <v>41608</v>
      </c>
      <c r="AH15" s="59">
        <f>DATE(A7-1,11,30)</f>
        <v>41243</v>
      </c>
      <c r="AI15" s="44"/>
      <c r="AK15" s="2">
        <v>9</v>
      </c>
      <c r="AL15" s="100" t="s">
        <v>227</v>
      </c>
      <c r="AM15" s="101" t="s">
        <v>228</v>
      </c>
      <c r="AN15" s="102" t="s">
        <v>229</v>
      </c>
      <c r="AO15" s="101" t="s">
        <v>230</v>
      </c>
      <c r="AP15" s="102" t="s">
        <v>231</v>
      </c>
      <c r="AQ15" s="101" t="s">
        <v>232</v>
      </c>
      <c r="AR15" s="102" t="s">
        <v>233</v>
      </c>
      <c r="AS15" s="102" t="s">
        <v>234</v>
      </c>
      <c r="AU15" s="2">
        <v>9</v>
      </c>
      <c r="AV15" s="100" t="s">
        <v>227</v>
      </c>
      <c r="AW15" s="103" t="s">
        <v>235</v>
      </c>
      <c r="AX15" s="104" t="s">
        <v>236</v>
      </c>
      <c r="AY15" s="103" t="s">
        <v>237</v>
      </c>
      <c r="AZ15" s="104" t="s">
        <v>238</v>
      </c>
      <c r="BA15" s="103" t="s">
        <v>93</v>
      </c>
      <c r="BB15" s="104" t="s">
        <v>239</v>
      </c>
      <c r="BC15" s="104" t="s">
        <v>240</v>
      </c>
      <c r="BE15" s="2">
        <v>9</v>
      </c>
      <c r="BF15" s="100" t="s">
        <v>227</v>
      </c>
      <c r="BG15" s="68" t="s">
        <v>241</v>
      </c>
      <c r="BH15" s="69" t="s">
        <v>242</v>
      </c>
      <c r="BI15" s="68" t="s">
        <v>243</v>
      </c>
      <c r="BJ15" s="69" t="s">
        <v>244</v>
      </c>
      <c r="BK15" s="69" t="s">
        <v>245</v>
      </c>
      <c r="BL15" s="69" t="s">
        <v>246</v>
      </c>
      <c r="BM15" s="69" t="s">
        <v>247</v>
      </c>
    </row>
    <row r="16" spans="1:65" ht="12.75">
      <c r="A16" s="94" t="s">
        <v>248</v>
      </c>
      <c r="B16" s="105">
        <f>IF(B7="Leap Year",LOOKUP(B13+1,S6:X152),LOOKUP(B13,S6:X152))</f>
        <v>41301</v>
      </c>
      <c r="C16" s="4"/>
      <c r="D16" s="48">
        <f>D7+21</f>
        <v>41266</v>
      </c>
      <c r="E16" s="49">
        <v>10</v>
      </c>
      <c r="F16" s="50" t="s">
        <v>249</v>
      </c>
      <c r="G16" s="114" t="str">
        <f>IF(ISBLANK(BG7),IF(MOD(A7,2),LOOKUP(E16,AK7:AM182),LOOKUP(E16,AU:AW)),IF(C27&gt;2,LOOKUP(E16,BE:BG),IF(C27=2,LOOKUP(E16,AU:AW),LOOKUP(E16,AK:AM))))</f>
        <v>Isaiah 11:1-9,</v>
      </c>
      <c r="H16" s="51" t="str">
        <f>IF(ISBLANK(BG7),IF(MOD(A7,2),LOOKUP(E16,AK7:AN182),LOOKUP(E16,AU:AX)),IF(C27&gt;2,LOOKUP(E16,BE:BH),IF(C27=2,LOOKUP(E16,AU:AX),LOOKUP(E16,AK:AN))))</f>
        <v>Isaiah 11:10-16,</v>
      </c>
      <c r="I16" s="52" t="str">
        <f>IF(ISBLANK(BG7),IF(MOD(A7,2),LOOKUP(E16,AK7:AO182),LOOKUP(E16,AU:AY)),IF(C27&gt;2,LOOKUP(E16,BE:BI),IF(C27=2,LOOKUP(E16,AU:AY),LOOKUP(E16,AK:AO))))</f>
        <v>Isaiah 28:9-22,</v>
      </c>
      <c r="J16" s="52" t="str">
        <f>IF(ISBLANK(BG7),IF(MOD(A7,2),LOOKUP(E16,AK7:AP182),LOOKUP(E16,AU:AZ)),IF(C27&gt;2,LOOKUP(E16,BE:BJ),IF(C27=2,LOOKUP(E16,AU:AZ),LOOKUP(E16,AK:AP))))</f>
        <v>Isaiah 29:9-24,</v>
      </c>
      <c r="K16" s="115" t="str">
        <f>IF(ISBLANK(BG7),IF(MOD(A7,2),LOOKUP(E16,AK7:AQ182),LOOKUP(E16,AU:BA)),IF(C27&gt;2,LOOKUP(E16,BE:BK),IF(C27=2,LOOKUP(E16,AU:BA),LOOKUP(E16,AK:AQ))))</f>
        <v>Isaiah 31:1-9,</v>
      </c>
      <c r="L16" s="115" t="str">
        <f>IF(ISBLANK(BG7),IF(MOD(A7,2),LOOKUP(E16,AK7:AR182),LOOKUP(E16,AU:BB)),IF(C27&gt;2,LOOKUP(E16,BE:BL),IF(C27=2,LOOKUP(E16,AU:BB),LOOKUP(E16,AK:AR))))</f>
        <v>Isaiah 33:17-22,</v>
      </c>
      <c r="M16" s="115" t="str">
        <f>IF(ISBLANK(BG7),IF(MOD(A7,2),LOOKUP(E16,AK7:AS182),LOOKUP(E16,AU:BC)),IF(C27&gt;2,LOOKUP(E16,BE:BM),IF(C27=2,LOOKUP(E16,AU:BC),LOOKUP(E16,AK:AS))))</f>
        <v>Isaiah 35:1-10,</v>
      </c>
      <c r="N16" s="55" t="s">
        <v>250</v>
      </c>
      <c r="O16" s="56">
        <f>D16</f>
        <v>41266</v>
      </c>
      <c r="P16" s="2">
        <v>2012</v>
      </c>
      <c r="Q16" s="2">
        <v>408</v>
      </c>
      <c r="R16" s="59">
        <f>DATE(P16,4,8)</f>
        <v>41007</v>
      </c>
      <c r="S16" s="59">
        <f>DATE(A7,3,31)</f>
        <v>41364</v>
      </c>
      <c r="T16" s="59">
        <f>DATE(A7-1,3,31)</f>
        <v>40999</v>
      </c>
      <c r="U16" s="2">
        <v>331</v>
      </c>
      <c r="V16" s="2">
        <v>2</v>
      </c>
      <c r="W16" s="2">
        <v>127</v>
      </c>
      <c r="X16" s="59">
        <f>DATE(A7,1,27)</f>
        <v>41301</v>
      </c>
      <c r="Y16" s="2">
        <v>213</v>
      </c>
      <c r="Z16" s="12">
        <f>DATE(A7,2,13)</f>
        <v>41318</v>
      </c>
      <c r="AA16" s="2">
        <v>509</v>
      </c>
      <c r="AB16" s="59">
        <f>DATE(A7,5,9)</f>
        <v>41403</v>
      </c>
      <c r="AC16" s="2">
        <v>519</v>
      </c>
      <c r="AD16" s="59">
        <f>DATE(A7,5,19)</f>
        <v>41413</v>
      </c>
      <c r="AE16" s="2">
        <v>26</v>
      </c>
      <c r="AF16" s="2">
        <v>1201</v>
      </c>
      <c r="AG16" s="59">
        <f>DATE(A7,12,1)</f>
        <v>41609</v>
      </c>
      <c r="AH16" s="59">
        <f>DATE(A7-1,12,1)</f>
        <v>41244</v>
      </c>
      <c r="AI16" s="44"/>
      <c r="AK16" s="2">
        <v>10</v>
      </c>
      <c r="AL16" s="87" t="s">
        <v>251</v>
      </c>
      <c r="AM16" s="88" t="s">
        <v>252</v>
      </c>
      <c r="AN16" s="89" t="s">
        <v>253</v>
      </c>
      <c r="AO16" s="89" t="s">
        <v>254</v>
      </c>
      <c r="AP16" s="88" t="s">
        <v>255</v>
      </c>
      <c r="AQ16" s="89" t="s">
        <v>256</v>
      </c>
      <c r="AR16" s="64" t="s">
        <v>257</v>
      </c>
      <c r="AS16" s="89" t="s">
        <v>258</v>
      </c>
      <c r="AU16" s="2">
        <v>10</v>
      </c>
      <c r="AV16" s="87" t="s">
        <v>251</v>
      </c>
      <c r="AW16" s="90" t="s">
        <v>259</v>
      </c>
      <c r="AX16" s="91" t="s">
        <v>260</v>
      </c>
      <c r="AY16" s="116" t="s">
        <v>261</v>
      </c>
      <c r="AZ16" s="90" t="s">
        <v>262</v>
      </c>
      <c r="BA16" s="91" t="s">
        <v>263</v>
      </c>
      <c r="BB16" s="67" t="s">
        <v>264</v>
      </c>
      <c r="BC16" s="91" t="s">
        <v>265</v>
      </c>
      <c r="BE16" s="2">
        <v>10</v>
      </c>
      <c r="BF16" s="87" t="s">
        <v>251</v>
      </c>
      <c r="BG16" s="68" t="s">
        <v>266</v>
      </c>
      <c r="BH16" s="69" t="s">
        <v>267</v>
      </c>
      <c r="BI16" s="68" t="s">
        <v>268</v>
      </c>
      <c r="BJ16" s="69" t="s">
        <v>269</v>
      </c>
      <c r="BK16" s="69" t="s">
        <v>270</v>
      </c>
      <c r="BL16" s="69" t="s">
        <v>271</v>
      </c>
      <c r="BM16" s="69" t="s">
        <v>272</v>
      </c>
    </row>
    <row r="17" spans="1:65" ht="12.75">
      <c r="A17" s="94" t="s">
        <v>273</v>
      </c>
      <c r="B17" s="105">
        <f>IF(AND(AI41&lt;AI56,B7="Leap Year"),LOOKUP(B13+1,S6:Z152),LOOKUP(B13,S6:Z152))</f>
        <v>41318</v>
      </c>
      <c r="C17" s="4"/>
      <c r="D17" s="72"/>
      <c r="E17" s="73">
        <v>11</v>
      </c>
      <c r="F17" s="74"/>
      <c r="G17" s="75" t="str">
        <f>IF(ISBLANK(BG7),IF(MOD(A7,2),LOOKUP(E17,AK7:AM182),LOOKUP(E17,AU:AW)),IF(C27&gt;2,LOOKUP(E17,BE:BG),IF(C27=2,LOOKUP(E17,AU:AW),LOOKUP(E17,AK:AM))))</f>
        <v>Ephesians 6:10-20,</v>
      </c>
      <c r="H17" s="117" t="str">
        <f>IF(ISBLANK(BG7),IF(MOD(A7,2),LOOKUP(E17,AK7:AN182),LOOKUP(E17,AU:AX)),IF(C27&gt;2,LOOKUP(E17,BE:BH),IF(C27=2,LOOKUP(E17,AU:AX),LOOKUP(E17,AK:AN))))</f>
        <v>Revelation 20:1-10,</v>
      </c>
      <c r="I17" s="93" t="str">
        <f>IF(ISBLANK(BG7),IF(MOD(A7,2),LOOKUP(E17,AK7:AO182),LOOKUP(E17,AU:AY)),IF(C27&gt;2,LOOKUP(E17,BE:BI),IF(C27=2,LOOKUP(E17,AU:AY),LOOKUP(E17,AK:AO))))</f>
        <v>Revelation 20:11-21:8,</v>
      </c>
      <c r="J17" s="93" t="str">
        <f>IF(ISBLANK(BG7),IF(MOD(A7,2),LOOKUP(E17,AK7:AP182),LOOKUP(E17,AU:AZ)),IF(C27&gt;2,LOOKUP(E17,BE:BJ),IF(C27=2,LOOKUP(E17,AU:AZ),LOOKUP(E17,AK:AP))))</f>
        <v>Revelation 21:9-21,</v>
      </c>
      <c r="K17" s="118" t="str">
        <f>IF(ISBLANK(BG7),IF(MOD(A7,2),LOOKUP(E17,AK7:AQ182),LOOKUP(E17,AU:BA)),IF(C27&gt;2,LOOKUP(E17,BE:BK),IF(C27=2,LOOKUP(E17,AU:BA),LOOKUP(E17,AK:AQ))))</f>
        <v>Revelation 21:22-22:5,</v>
      </c>
      <c r="L17" s="118" t="str">
        <f>IF(ISBLANK(BG7),IF(MOD(A7,2),LOOKUP(E17,AK7:AR182),LOOKUP(E17,AU:BB)),IF(C27&gt;2,LOOKUP(E17,BE:BL),IF(C27=2,LOOKUP(E17,AU:BB),LOOKUP(E17,AK:AR))))</f>
        <v>Revelation 22:6-11, 18-20,</v>
      </c>
      <c r="M17" s="118" t="str">
        <f>IF(ISBLANK(BG7),IF(MOD(A7,2),LOOKUP(E17,AK7:AS182),LOOKUP(E17,AU:BC)),IF(C27&gt;2,LOOKUP(E17,BE:BM),IF(C27=2,LOOKUP(E17,AU:BC),LOOKUP(E17,AK:AS))))</f>
        <v>Revelation 22:12-17, 21,</v>
      </c>
      <c r="N17" s="77"/>
      <c r="O17" s="78"/>
      <c r="P17" s="2">
        <v>2013</v>
      </c>
      <c r="Q17" s="2">
        <v>331</v>
      </c>
      <c r="R17" s="59">
        <f>DATE(P17,3,31)</f>
        <v>41364</v>
      </c>
      <c r="S17" s="59">
        <f>DATE(A7,4,1)</f>
        <v>41365</v>
      </c>
      <c r="T17" s="59">
        <f>DATE(A7-1,4,1)</f>
        <v>41000</v>
      </c>
      <c r="U17" s="2">
        <v>401</v>
      </c>
      <c r="V17" s="2">
        <v>3</v>
      </c>
      <c r="W17" s="2">
        <v>128</v>
      </c>
      <c r="X17" s="59">
        <f>DATE(A7,1,28)</f>
        <v>41302</v>
      </c>
      <c r="Y17" s="2">
        <v>214</v>
      </c>
      <c r="Z17" s="12">
        <f>DATE(A7,2,14)</f>
        <v>41319</v>
      </c>
      <c r="AA17" s="2">
        <v>510</v>
      </c>
      <c r="AB17" s="59">
        <f>DATE(A7,5,10)</f>
        <v>41404</v>
      </c>
      <c r="AC17" s="2">
        <v>520</v>
      </c>
      <c r="AD17" s="59">
        <f>DATE(A7,5,20)</f>
        <v>41414</v>
      </c>
      <c r="AE17" s="2">
        <v>26</v>
      </c>
      <c r="AF17" s="2">
        <v>1202</v>
      </c>
      <c r="AG17" s="59">
        <f>DATE(A7,12,2)</f>
        <v>41610</v>
      </c>
      <c r="AH17" s="59">
        <f>DATE(A7-1,12,2)</f>
        <v>41245</v>
      </c>
      <c r="AI17" s="44"/>
      <c r="AK17" s="2">
        <v>11</v>
      </c>
      <c r="AL17" s="62" t="s">
        <v>274</v>
      </c>
      <c r="AM17" s="63" t="s">
        <v>275</v>
      </c>
      <c r="AN17" s="64" t="s">
        <v>276</v>
      </c>
      <c r="AO17" s="64" t="s">
        <v>277</v>
      </c>
      <c r="AP17" s="64" t="s">
        <v>278</v>
      </c>
      <c r="AQ17" s="64" t="s">
        <v>279</v>
      </c>
      <c r="AR17" s="64" t="s">
        <v>280</v>
      </c>
      <c r="AS17" s="64" t="s">
        <v>281</v>
      </c>
      <c r="AU17" s="2">
        <v>11</v>
      </c>
      <c r="AV17" s="62" t="s">
        <v>274</v>
      </c>
      <c r="AW17" s="66" t="s">
        <v>282</v>
      </c>
      <c r="AX17" s="67" t="s">
        <v>283</v>
      </c>
      <c r="AY17" s="119" t="s">
        <v>284</v>
      </c>
      <c r="AZ17" s="67" t="s">
        <v>285</v>
      </c>
      <c r="BA17" s="67" t="s">
        <v>286</v>
      </c>
      <c r="BB17" s="67" t="s">
        <v>287</v>
      </c>
      <c r="BC17" s="67" t="s">
        <v>288</v>
      </c>
      <c r="BE17" s="2">
        <v>11</v>
      </c>
      <c r="BF17" s="62" t="s">
        <v>274</v>
      </c>
      <c r="BG17" s="68" t="s">
        <v>289</v>
      </c>
      <c r="BH17" s="69" t="s">
        <v>290</v>
      </c>
      <c r="BI17" s="68" t="s">
        <v>291</v>
      </c>
      <c r="BJ17" s="69" t="s">
        <v>292</v>
      </c>
      <c r="BK17" s="69" t="s">
        <v>293</v>
      </c>
      <c r="BL17" s="69" t="s">
        <v>294</v>
      </c>
      <c r="BM17" s="69" t="s">
        <v>295</v>
      </c>
    </row>
    <row r="18" spans="1:65" ht="12.75">
      <c r="A18" s="94" t="s">
        <v>33</v>
      </c>
      <c r="B18" s="105">
        <f>LOOKUP(B13,S6:AB152)</f>
        <v>41403</v>
      </c>
      <c r="C18" s="4"/>
      <c r="D18" s="81"/>
      <c r="E18" s="96">
        <v>12</v>
      </c>
      <c r="F18" s="97"/>
      <c r="G18" s="82" t="str">
        <f>IF(ISBLANK(BG7),IF(MOD(A7,2),LOOKUP(E18,AK7:AM182),LOOKUP(E18,AU:AW)),IF(C27&gt;2,LOOKUP(E18,BE:BG),IF(C27=2,LOOKUP(E18,AU:AW),LOOKUP(E18,AK:AM))))</f>
        <v>John 3:16:-21</v>
      </c>
      <c r="H18" s="120" t="str">
        <f>IF(ISBLANK(BG7),IF(MOD(A7,2),LOOKUP(E18,AK7:AN182),LOOKUP(E18,AU:AX)),IF(C27&gt;2,LOOKUP(E18,BE:BH),IF(C27=2,LOOKUP(E18,AU:AX),LOOKUP(E18,AK:AN))))</f>
        <v>John 5:30-47</v>
      </c>
      <c r="I18" s="83" t="str">
        <f>IF(ISBLANK(BG7),IF(MOD(A7,2),LOOKUP(E18,AK7:AO182),LOOKUP(E18,AU:AY)),IF(C27&gt;2,LOOKUP(E18,BE:BI),IF(C27=2,LOOKUP(E18,AU:AY),LOOKUP(E18,AK:AO))))</f>
        <v>Luke 1:5-25</v>
      </c>
      <c r="J18" s="83" t="str">
        <f>IF(ISBLANK(BG7),IF(MOD(A7,2),LOOKUP(E18,AK7:AP182),LOOKUP(E18,AU:AZ)),IF(C27&gt;2,LOOKUP(E18,BE:BJ),IF(C27=2,LOOKUP(E18,AU:AZ),LOOKUP(E18,AK:AP))))</f>
        <v>Luke 1:26-38</v>
      </c>
      <c r="K18" s="121" t="str">
        <f>IF(ISBLANK(BG7),IF(MOD(A7,2),LOOKUP(E18,AK7:AQ182),LOOKUP(E18,AU:BA)),IF(C27&gt;2,LOOKUP(E18,BE:BK),IF(C27=2,LOOKUP(E18,AU:BA),LOOKUP(E18,AK:AQ))))</f>
        <v>Luke 1:39-48a (48b-56)</v>
      </c>
      <c r="L18" s="121" t="str">
        <f>IF(ISBLANK(BG7),IF(MOD(A7,2),LOOKUP(E18,AK7:AR182),LOOKUP(E18,AU:BB)),IF(C27&gt;2,LOOKUP(E18,BE:BL),IF(C27=2,LOOKUP(E18,AU:BB),LOOKUP(E18,AK:AR))))</f>
        <v>Luke 1:57-66</v>
      </c>
      <c r="M18" s="121" t="str">
        <f>IF(ISBLANK(BG7),IF(MOD(A7,2),LOOKUP(E18,AK7:AS182),LOOKUP(E18,AU:BC)),IF(C27&gt;2,LOOKUP(E18,BE:BM),IF(C27=2,LOOKUP(E18,AU:BC),LOOKUP(E18,AK:AS))))</f>
        <v>Luke 1:67-80</v>
      </c>
      <c r="N18" s="98"/>
      <c r="O18" s="99"/>
      <c r="P18" s="2">
        <v>2014</v>
      </c>
      <c r="Q18" s="2">
        <v>420</v>
      </c>
      <c r="R18" s="59">
        <f>DATE(P18,4,20)</f>
        <v>41749</v>
      </c>
      <c r="S18" s="59">
        <f>DATE(A7,4,2)</f>
        <v>41366</v>
      </c>
      <c r="T18" s="59">
        <f>DATE(A7-1,4,2)</f>
        <v>41001</v>
      </c>
      <c r="U18" s="2">
        <v>402</v>
      </c>
      <c r="V18" s="2">
        <v>3</v>
      </c>
      <c r="W18" s="2">
        <v>129</v>
      </c>
      <c r="X18" s="59">
        <f>DATE(A7,1,29)</f>
        <v>41303</v>
      </c>
      <c r="Y18" s="2">
        <v>215</v>
      </c>
      <c r="Z18" s="12">
        <f>DATE(A7,2,15)</f>
        <v>41320</v>
      </c>
      <c r="AA18" s="2">
        <v>511</v>
      </c>
      <c r="AB18" s="59">
        <f>DATE(A7,5,12)</f>
        <v>41406</v>
      </c>
      <c r="AC18" s="2">
        <v>521</v>
      </c>
      <c r="AD18" s="59">
        <f>DATE(A7,5,21)</f>
        <v>41415</v>
      </c>
      <c r="AE18" s="2">
        <v>26</v>
      </c>
      <c r="AF18" s="2">
        <v>1203</v>
      </c>
      <c r="AG18" s="59">
        <f>DATE(A7,12,3)</f>
        <v>41611</v>
      </c>
      <c r="AH18" s="59">
        <f>DATE(A7-1,12,3)</f>
        <v>41246</v>
      </c>
      <c r="AI18" s="44"/>
      <c r="AK18" s="2">
        <v>12</v>
      </c>
      <c r="AL18" s="100" t="s">
        <v>296</v>
      </c>
      <c r="AM18" s="101" t="s">
        <v>297</v>
      </c>
      <c r="AN18" s="102" t="s">
        <v>298</v>
      </c>
      <c r="AO18" s="102" t="s">
        <v>299</v>
      </c>
      <c r="AP18" s="101" t="s">
        <v>300</v>
      </c>
      <c r="AQ18" s="102" t="s">
        <v>301</v>
      </c>
      <c r="AR18" s="64" t="s">
        <v>302</v>
      </c>
      <c r="AS18" s="102" t="s">
        <v>303</v>
      </c>
      <c r="AU18" s="2">
        <v>12</v>
      </c>
      <c r="AV18" s="100" t="s">
        <v>296</v>
      </c>
      <c r="AW18" s="103" t="s">
        <v>304</v>
      </c>
      <c r="AX18" s="104" t="s">
        <v>305</v>
      </c>
      <c r="AY18" s="122" t="s">
        <v>300</v>
      </c>
      <c r="AZ18" s="103" t="s">
        <v>301</v>
      </c>
      <c r="BA18" s="104" t="s">
        <v>302</v>
      </c>
      <c r="BB18" s="67" t="s">
        <v>306</v>
      </c>
      <c r="BC18" s="104" t="s">
        <v>307</v>
      </c>
      <c r="BE18" s="2">
        <v>12</v>
      </c>
      <c r="BF18" s="100" t="s">
        <v>296</v>
      </c>
      <c r="BG18" s="68" t="s">
        <v>308</v>
      </c>
      <c r="BH18" s="69" t="s">
        <v>309</v>
      </c>
      <c r="BI18" s="68" t="s">
        <v>310</v>
      </c>
      <c r="BJ18" s="69" t="s">
        <v>311</v>
      </c>
      <c r="BK18" s="69" t="s">
        <v>312</v>
      </c>
      <c r="BL18" s="69" t="s">
        <v>313</v>
      </c>
      <c r="BM18" s="69" t="s">
        <v>314</v>
      </c>
    </row>
    <row r="19" spans="1:65" ht="12.75">
      <c r="A19" s="94" t="s">
        <v>35</v>
      </c>
      <c r="B19" s="105">
        <f>LOOKUP(B13,S6:AD152)</f>
        <v>41413</v>
      </c>
      <c r="C19" s="4"/>
      <c r="D19" s="123" t="s">
        <v>315</v>
      </c>
      <c r="E19" s="124"/>
      <c r="F19" s="125" t="s">
        <v>316</v>
      </c>
      <c r="G19" s="126" t="s">
        <v>317</v>
      </c>
      <c r="H19" s="127" t="s">
        <v>318</v>
      </c>
      <c r="I19" s="127" t="s">
        <v>319</v>
      </c>
      <c r="J19" s="127" t="s">
        <v>320</v>
      </c>
      <c r="K19" s="127" t="s">
        <v>321</v>
      </c>
      <c r="L19" s="127" t="s">
        <v>322</v>
      </c>
      <c r="M19" s="127" t="s">
        <v>323</v>
      </c>
      <c r="N19" s="128" t="s">
        <v>316</v>
      </c>
      <c r="O19" s="78" t="str">
        <f>D19</f>
        <v>Christmas</v>
      </c>
      <c r="P19" s="2">
        <v>2015</v>
      </c>
      <c r="Q19" s="2">
        <v>405</v>
      </c>
      <c r="R19" s="59">
        <f>DATE(P19,4,5)</f>
        <v>42099</v>
      </c>
      <c r="S19" s="59">
        <f>DATE(A7,4,3)</f>
        <v>41367</v>
      </c>
      <c r="T19" s="59">
        <f>DATE(A7-1,4,3)</f>
        <v>41002</v>
      </c>
      <c r="U19" s="2">
        <v>403</v>
      </c>
      <c r="V19" s="2">
        <v>3</v>
      </c>
      <c r="W19" s="2">
        <v>130</v>
      </c>
      <c r="X19" s="59">
        <f>DATE(A7,1,30)</f>
        <v>41304</v>
      </c>
      <c r="Y19" s="2">
        <v>216</v>
      </c>
      <c r="Z19" s="12">
        <f>DATE(A7,2,16)</f>
        <v>41321</v>
      </c>
      <c r="AA19" s="2">
        <v>512</v>
      </c>
      <c r="AB19" s="59">
        <f>DATE(A7,5,6)</f>
        <v>41400</v>
      </c>
      <c r="AC19" s="2">
        <v>522</v>
      </c>
      <c r="AD19" s="59">
        <f>DATE(A7,5,22)</f>
        <v>41416</v>
      </c>
      <c r="AE19" s="2">
        <v>25</v>
      </c>
      <c r="AF19" s="2">
        <v>1127</v>
      </c>
      <c r="AG19" s="59">
        <f>DATE(A7,11,27)</f>
        <v>41605</v>
      </c>
      <c r="AH19" s="59">
        <f>DATE(A7-1,11,27)</f>
        <v>41240</v>
      </c>
      <c r="AI19" s="44"/>
      <c r="AK19" s="2">
        <v>12.5</v>
      </c>
      <c r="AL19" s="129" t="s">
        <v>14</v>
      </c>
      <c r="AM19" s="130" t="s">
        <v>317</v>
      </c>
      <c r="AN19" s="131" t="s">
        <v>318</v>
      </c>
      <c r="AO19" s="132" t="s">
        <v>319</v>
      </c>
      <c r="AP19" s="132" t="s">
        <v>320</v>
      </c>
      <c r="AQ19" s="132" t="s">
        <v>321</v>
      </c>
      <c r="AR19" s="132" t="s">
        <v>322</v>
      </c>
      <c r="AS19" s="132" t="s">
        <v>323</v>
      </c>
      <c r="AU19" s="2">
        <v>12.5</v>
      </c>
      <c r="AV19" s="129" t="s">
        <v>14</v>
      </c>
      <c r="AW19" s="133" t="s">
        <v>317</v>
      </c>
      <c r="AX19" s="134" t="s">
        <v>318</v>
      </c>
      <c r="AY19" s="135" t="s">
        <v>319</v>
      </c>
      <c r="AZ19" s="136" t="s">
        <v>320</v>
      </c>
      <c r="BA19" s="136" t="s">
        <v>321</v>
      </c>
      <c r="BB19" s="136" t="s">
        <v>322</v>
      </c>
      <c r="BC19" s="136" t="s">
        <v>323</v>
      </c>
      <c r="BE19" s="2">
        <v>12.5</v>
      </c>
      <c r="BF19" s="129" t="s">
        <v>14</v>
      </c>
      <c r="BG19" s="68" t="s">
        <v>324</v>
      </c>
      <c r="BH19" s="69" t="s">
        <v>325</v>
      </c>
      <c r="BI19" s="68" t="s">
        <v>326</v>
      </c>
      <c r="BJ19" s="69" t="s">
        <v>327</v>
      </c>
      <c r="BK19" s="69" t="s">
        <v>328</v>
      </c>
      <c r="BL19" s="69" t="s">
        <v>329</v>
      </c>
      <c r="BM19" s="69" t="s">
        <v>330</v>
      </c>
    </row>
    <row r="20" spans="1:65" ht="12.75">
      <c r="A20" s="94" t="s">
        <v>331</v>
      </c>
      <c r="B20" s="137">
        <f>LOOKUP(B13,S6:AE152)</f>
        <v>26</v>
      </c>
      <c r="C20" s="4"/>
      <c r="D20" s="138"/>
      <c r="E20" s="139">
        <v>13</v>
      </c>
      <c r="F20" s="140" t="s">
        <v>315</v>
      </c>
      <c r="G20" s="141" t="str">
        <f>IF(ISBLANK(BG7),IF(MOD(A7,2),LOOKUP(E20,AK7:AM182),LOOKUP(E20,AU:AW)),IF(C27&gt;2,LOOKUP(E20,BE:BG),IF(C27=2,LOOKUP(E20,AU:AW),LOOKUP(E20,AK:AM))))</f>
        <v>Zechariah 2:10-13,</v>
      </c>
      <c r="H20" s="142" t="str">
        <f>IF(ISBLANK(BG7),IF(MOD(A7,2),LOOKUP(E20,AK7:AN182),LOOKUP(E20,AU:AX)),IF(C27&gt;2,LOOKUP(E20,BE:BH),IF(C27=2,LOOKUP(E20,AU:AX),LOOKUP(E20,AK:AN))))</f>
        <v>2 Chronicles 24:17-22,</v>
      </c>
      <c r="I20" s="142" t="str">
        <f>IF(ISBLANK(BG7),IF(MOD(A7,2),LOOKUP(E20,AK7:AO182),LOOKUP(E20,AU:AY)),IF(C27&gt;2,LOOKUP(E20,BE:BI),IF(C27=2,LOOKUP(E20,AU:AY),LOOKUP(E20,AK:AO))))</f>
        <v>Proverbs 8:22-30,</v>
      </c>
      <c r="J20" s="142" t="str">
        <f>IF(ISBLANK(BG7),IF(MOD(A7,2),LOOKUP(E20,AK7:AP182),LOOKUP(E20,AU:AZ)),IF(C27&gt;2,LOOKUP(E20,BE:BJ),IF(C27=2,LOOKUP(E20,AU:AZ),LOOKUP(E20,AK:AP))))</f>
        <v>Isaiah 49:13-23,</v>
      </c>
      <c r="K20" s="142" t="str">
        <f>IF(ISBLANK(BG7),IF(MOD(A7,2),LOOKUP(E20,AK7:AQ182),LOOKUP(E20,AU:BA)),IF(C27&gt;2,LOOKUP(E20,BE:BK),IF(C27=2,LOOKUP(E20,AU:BA),LOOKUP(E20,AK:AQ))))</f>
        <v>Isaiah 12:1-6,</v>
      </c>
      <c r="L20" s="142" t="str">
        <f>IF(ISBLANK(BG7),IF(MOD(A7,2),LOOKUP(E20,AK7:AR182),LOOKUP(E20,AU:BB)),IF(C27&gt;2,LOOKUP(E20,BE:BL),IF(C27=2,LOOKUP(E20,AU:BB),LOOKUP(E20,AK:AR))))</f>
        <v>Isaiah 25:1-9,</v>
      </c>
      <c r="M20" s="142" t="str">
        <f>IF(ISBLANK(BG7),IF(MOD(A7,2),LOOKUP(E20,AK7:AS182),LOOKUP(E20,AU:BC)),IF(C27&gt;2,LOOKUP(E20,BE:BM),IF(C27=2,LOOKUP(E20,AU:BC),LOOKUP(E20,AK:AS))))</f>
        <v>Isaiah 26:1-6,</v>
      </c>
      <c r="N20" s="143" t="s">
        <v>315</v>
      </c>
      <c r="O20" s="78"/>
      <c r="P20" s="2">
        <v>2016</v>
      </c>
      <c r="Q20" s="2">
        <v>327</v>
      </c>
      <c r="R20" s="59">
        <f>DATE(P20,3,27)</f>
        <v>42456</v>
      </c>
      <c r="S20" s="59">
        <f>DATE(A7,4,4)</f>
        <v>41368</v>
      </c>
      <c r="T20" s="59">
        <f>DATE(A7-1,4,4)</f>
        <v>41003</v>
      </c>
      <c r="U20" s="2">
        <v>404</v>
      </c>
      <c r="V20" s="2">
        <v>3</v>
      </c>
      <c r="W20" s="2">
        <v>131</v>
      </c>
      <c r="X20" s="59">
        <f>DATE(A7,1,31)</f>
        <v>41305</v>
      </c>
      <c r="Y20" s="2">
        <v>217</v>
      </c>
      <c r="Z20" s="12">
        <f>DATE(A7,2,17)</f>
        <v>41322</v>
      </c>
      <c r="AA20" s="2">
        <v>513</v>
      </c>
      <c r="AB20" s="59">
        <f>DATE(A7,5,13)</f>
        <v>41407</v>
      </c>
      <c r="AC20" s="2">
        <v>523</v>
      </c>
      <c r="AD20" s="59">
        <f>DATE(A7,5,23)</f>
        <v>41417</v>
      </c>
      <c r="AE20" s="2">
        <v>25</v>
      </c>
      <c r="AF20" s="2">
        <v>1128</v>
      </c>
      <c r="AG20" s="59">
        <f>DATE(A7,11,28)</f>
        <v>41606</v>
      </c>
      <c r="AH20" s="59">
        <f>DATE(A7-1,11,28)</f>
        <v>41241</v>
      </c>
      <c r="AI20" s="44"/>
      <c r="AK20" s="2">
        <v>13</v>
      </c>
      <c r="AL20" s="62" t="s">
        <v>332</v>
      </c>
      <c r="AM20" s="63" t="s">
        <v>333</v>
      </c>
      <c r="AN20" s="64" t="s">
        <v>334</v>
      </c>
      <c r="AO20" s="63" t="s">
        <v>335</v>
      </c>
      <c r="AP20" s="64" t="s">
        <v>336</v>
      </c>
      <c r="AQ20" s="144" t="s">
        <v>337</v>
      </c>
      <c r="AR20" s="64" t="s">
        <v>338</v>
      </c>
      <c r="AS20" s="64" t="s">
        <v>339</v>
      </c>
      <c r="AU20" s="2">
        <v>13</v>
      </c>
      <c r="AV20" s="62" t="s">
        <v>332</v>
      </c>
      <c r="AW20" s="66" t="s">
        <v>340</v>
      </c>
      <c r="AX20" s="67" t="s">
        <v>334</v>
      </c>
      <c r="AY20" s="66" t="s">
        <v>335</v>
      </c>
      <c r="AZ20" s="67" t="s">
        <v>336</v>
      </c>
      <c r="BA20" s="119" t="s">
        <v>341</v>
      </c>
      <c r="BB20" s="67" t="s">
        <v>342</v>
      </c>
      <c r="BC20" s="67" t="s">
        <v>343</v>
      </c>
      <c r="BE20" s="2">
        <v>13</v>
      </c>
      <c r="BF20" s="62" t="s">
        <v>332</v>
      </c>
      <c r="BG20" s="68" t="s">
        <v>344</v>
      </c>
      <c r="BH20" s="69" t="s">
        <v>345</v>
      </c>
      <c r="BI20" s="68" t="s">
        <v>346</v>
      </c>
      <c r="BJ20" s="69" t="s">
        <v>347</v>
      </c>
      <c r="BK20" s="69" t="s">
        <v>348</v>
      </c>
      <c r="BL20" s="69" t="s">
        <v>349</v>
      </c>
      <c r="BM20" s="69" t="s">
        <v>350</v>
      </c>
    </row>
    <row r="21" spans="1:65" ht="12.75">
      <c r="A21" s="94" t="s">
        <v>351</v>
      </c>
      <c r="B21" s="105">
        <f>LOOKUP(B13,S6:AG152)</f>
        <v>41609</v>
      </c>
      <c r="C21" s="4"/>
      <c r="D21" s="138"/>
      <c r="E21" s="139">
        <v>14</v>
      </c>
      <c r="F21" s="140"/>
      <c r="G21" s="141" t="str">
        <f>IF(ISBLANK(BG7),IF(MOD(A7,2),LOOKUP(E21,AK7:AM182),LOOKUP(E21,AU:AW)),IF(C27&gt;2,LOOKUP(E21,BE:BG),IF(C27=2,LOOKUP(E21,AU:AW),LOOKUP(E21,AK:AM))))</f>
        <v>1 John 4:7-16,</v>
      </c>
      <c r="H21" s="142" t="str">
        <f>IF(ISBLANK(BG7),IF(MOD(A7,2),LOOKUP(E21,AK7:AN182),LOOKUP(E21,AU:AX)),IF(C27&gt;2,LOOKUP(E21,BE:BH),IF(C27=2,LOOKUP(E21,AU:AX),LOOKUP(E21,AK:AN))))</f>
        <v>Acts 6:1-7,</v>
      </c>
      <c r="I21" s="142" t="str">
        <f>IF(ISBLANK(BG7),IF(MOD(A7,2),LOOKUP(E21,AK7:AO182),LOOKUP(E21,AU:AY)),IF(C27&gt;2,LOOKUP(E21,BE:BI),IF(C27=2,LOOKUP(E21,AU:AY),LOOKUP(E21,AK:AO))))</f>
        <v>1 John 5:1-12,</v>
      </c>
      <c r="J21" s="142" t="str">
        <f>IF(ISBLANK(BG7),IF(MOD(A7,2),LOOKUP(E21,AK7:AP182),LOOKUP(E21,AU:AZ)),IF(C27&gt;2,LOOKUP(E21,BE:BJ),IF(C27=2,LOOKUP(E21,AU:AZ),LOOKUP(E21,AK:AP))))</f>
        <v>Isaiah 54:1-13,</v>
      </c>
      <c r="K21" s="142" t="str">
        <f>IF(ISBLANK(BG7),IF(MOD(A7,2),LOOKUP(E21,AK7:AQ182),LOOKUP(E21,AU:BA)),IF(C27&gt;2,LOOKUP(E21,BE:BK),IF(C27=2,LOOKUP(E21,AU:BA),LOOKUP(E21,AK:AQ))))</f>
        <v>Revelation 1:1-8,</v>
      </c>
      <c r="L21" s="142" t="str">
        <f>IF(ISBLANK(BG7),IF(MOD(A7,2),LOOKUP(E21,AK7:AR182),LOOKUP(E21,AU:BB)),IF(C27&gt;2,LOOKUP(E21,BE:BL),IF(C27=2,LOOKUP(E21,AU:BB),LOOKUP(E21,AK:AR))))</f>
        <v>Revelation 1:9-20,</v>
      </c>
      <c r="M21" s="142" t="str">
        <f>IF(ISBLANK(BG7),IF(MOD(A7,2),LOOKUP(E21,AK7:AS182),LOOKUP(E21,AU:BC)),IF(C27&gt;2,LOOKUP(E21,BE:BM),IF(C27=2,LOOKUP(E21,AU:BC),LOOKUP(E21,AK:AS))))</f>
        <v>2 Corinthians 5:16-6:2,</v>
      </c>
      <c r="N21" s="143"/>
      <c r="O21" s="78"/>
      <c r="P21" s="2">
        <v>2017</v>
      </c>
      <c r="Q21" s="2">
        <v>416</v>
      </c>
      <c r="R21" s="59">
        <f>DATE(P21,4,16)</f>
        <v>42841</v>
      </c>
      <c r="S21" s="59">
        <f>DATE(A7,4,5)</f>
        <v>41369</v>
      </c>
      <c r="T21" s="59">
        <f>DATE(A7-1,4,5)</f>
        <v>41004</v>
      </c>
      <c r="U21" s="2">
        <v>405</v>
      </c>
      <c r="V21" s="2">
        <v>3</v>
      </c>
      <c r="W21" s="2">
        <v>201</v>
      </c>
      <c r="X21" s="59">
        <f>DATE(A7,2,1)</f>
        <v>41306</v>
      </c>
      <c r="Y21" s="2">
        <v>218</v>
      </c>
      <c r="Z21" s="12">
        <f>DATE(A7,2,18)</f>
        <v>41323</v>
      </c>
      <c r="AA21" s="2">
        <v>514</v>
      </c>
      <c r="AB21" s="59">
        <f>DATE(A7,5,14)</f>
        <v>41408</v>
      </c>
      <c r="AC21" s="2">
        <v>524</v>
      </c>
      <c r="AD21" s="59">
        <f>DATE(A7,5,24)</f>
        <v>41418</v>
      </c>
      <c r="AE21" s="2">
        <v>25</v>
      </c>
      <c r="AF21" s="2">
        <v>1129</v>
      </c>
      <c r="AG21" s="59">
        <f>DATE(A7,11,29)</f>
        <v>41607</v>
      </c>
      <c r="AH21" s="59">
        <f>DATE(A7-1,11,29)</f>
        <v>41242</v>
      </c>
      <c r="AI21" s="44"/>
      <c r="AK21" s="2">
        <v>14</v>
      </c>
      <c r="AL21" s="62" t="s">
        <v>352</v>
      </c>
      <c r="AM21" s="63" t="s">
        <v>353</v>
      </c>
      <c r="AN21" s="64" t="s">
        <v>354</v>
      </c>
      <c r="AO21" s="63" t="s">
        <v>355</v>
      </c>
      <c r="AP21" s="64" t="s">
        <v>356</v>
      </c>
      <c r="AQ21" s="144" t="s">
        <v>144</v>
      </c>
      <c r="AR21" s="64" t="s">
        <v>357</v>
      </c>
      <c r="AS21" s="64" t="s">
        <v>358</v>
      </c>
      <c r="AU21" s="2">
        <v>14</v>
      </c>
      <c r="AV21" s="62" t="s">
        <v>352</v>
      </c>
      <c r="AW21" s="66" t="s">
        <v>359</v>
      </c>
      <c r="AX21" s="67" t="s">
        <v>354</v>
      </c>
      <c r="AY21" s="66" t="s">
        <v>355</v>
      </c>
      <c r="AZ21" s="67" t="s">
        <v>356</v>
      </c>
      <c r="BA21" s="119" t="s">
        <v>360</v>
      </c>
      <c r="BB21" s="67" t="s">
        <v>361</v>
      </c>
      <c r="BC21" s="67" t="s">
        <v>362</v>
      </c>
      <c r="BE21" s="2">
        <v>14</v>
      </c>
      <c r="BF21" s="62" t="s">
        <v>352</v>
      </c>
      <c r="BG21" s="68" t="s">
        <v>363</v>
      </c>
      <c r="BH21" s="69" t="s">
        <v>364</v>
      </c>
      <c r="BI21" s="68" t="s">
        <v>365</v>
      </c>
      <c r="BJ21" s="69" t="s">
        <v>366</v>
      </c>
      <c r="BK21" s="69" t="s">
        <v>367</v>
      </c>
      <c r="BL21" s="69" t="s">
        <v>368</v>
      </c>
      <c r="BM21" s="69" t="s">
        <v>369</v>
      </c>
    </row>
    <row r="22" spans="1:65" ht="12.75">
      <c r="A22" s="94"/>
      <c r="B22" s="47"/>
      <c r="C22" s="4"/>
      <c r="D22" s="81"/>
      <c r="E22" s="139">
        <v>15</v>
      </c>
      <c r="F22" s="145"/>
      <c r="G22" s="146" t="str">
        <f>IF(ISBLANK(BG7),IF(MOD(A7,2),LOOKUP(E22,AK7:AM182),LOOKUP(E22,AU:AW)),IF(C27&gt;2,LOOKUP(E22,BE:BG),IF(C27=2,LOOKUP(E22,AU:AW),LOOKUP(E22,AK:AM))))</f>
        <v>John 3:31-36</v>
      </c>
      <c r="H22" s="147" t="str">
        <f>IF(ISBLANK(BG7),IF(MOD(A7,2),LOOKUP(E22,AK7:AN182),LOOKUP(E22,AU:AX)),IF(C27&gt;2,LOOKUP(E22,BE:BH),IF(C27=2,LOOKUP(E22,AU:AX),LOOKUP(E22,AK:AN))))</f>
        <v>Acts 7:59-8:8</v>
      </c>
      <c r="I22" s="147" t="str">
        <f>IF(ISBLANK(BG7),IF(MOD(A7,2),LOOKUP(E22,AK7:AO182),LOOKUP(E22,AU:AY)),IF(C27&gt;2,LOOKUP(E22,BE:BI),IF(C27=2,LOOKUP(E22,AU:AY),LOOKUP(E22,AK:AO))))</f>
        <v>John 13-20-35</v>
      </c>
      <c r="J22" s="147" t="str">
        <f>IF(ISBLANK(BG7),IF(MOD(A7,2),LOOKUP(E22,AK7:AP182),LOOKUP(E22,AU:AZ)),IF(C27&gt;2,LOOKUP(E22,BE:BJ),IF(C27=2,LOOKUP(E22,AU:AZ),LOOKUP(E22,AK:AP))))</f>
        <v>Matthew 18:1-14</v>
      </c>
      <c r="K22" s="147" t="str">
        <f>IF(ISBLANK(BG7),IF(MOD(A7,2),LOOKUP(E22,AK7:AQ182),LOOKUP(E22,AU:BA)),IF(C27&gt;2,LOOKUP(E22,BE:BK),IF(C27=2,LOOKUP(E22,AU:BA),LOOKUP(E22,AK:AQ))))</f>
        <v>John 7:37-52</v>
      </c>
      <c r="L22" s="147" t="str">
        <f>IF(ISBLANK(BG7),IF(MOD(A7,2),LOOKUP(E22,AK7:AR182),LOOKUP(E22,AU:BB)),IF(C27&gt;2,LOOKUP(E22,BE:BL),IF(C27=2,LOOKUP(E22,AU:BB),LOOKUP(E22,AK:AR))))</f>
        <v>John 7:53-8:11</v>
      </c>
      <c r="M22" s="147" t="str">
        <f>IF(ISBLANK(BG7),IF(MOD(A7,2),LOOKUP(E22,AK7:AS182),LOOKUP(E22,AU:BC)),IF(C27&gt;2,LOOKUP(E22,BE:BM),IF(C27=2,LOOKUP(E22,AU:BC),LOOKUP(E22,AK:AS))))</f>
        <v>John 8:12-19</v>
      </c>
      <c r="N22" s="143"/>
      <c r="O22" s="78"/>
      <c r="P22" s="2">
        <v>2018</v>
      </c>
      <c r="Q22" s="2">
        <v>401</v>
      </c>
      <c r="R22" s="59">
        <f>DATE(P22,4,1)</f>
        <v>43191</v>
      </c>
      <c r="S22" s="59">
        <f>DATE(A7,4,6)</f>
        <v>41370</v>
      </c>
      <c r="T22" s="59">
        <f>DATE(A7-1,4,6)</f>
        <v>41005</v>
      </c>
      <c r="U22" s="2">
        <v>406</v>
      </c>
      <c r="V22" s="2">
        <v>3</v>
      </c>
      <c r="W22" s="2">
        <v>202</v>
      </c>
      <c r="X22" s="59">
        <f>DATE(A7,2,2)</f>
        <v>41307</v>
      </c>
      <c r="Y22" s="2">
        <v>219</v>
      </c>
      <c r="Z22" s="12">
        <f>DATE(A7,2,19)</f>
        <v>41324</v>
      </c>
      <c r="AA22" s="2">
        <v>515</v>
      </c>
      <c r="AB22" s="59">
        <f>DATE(A7,5,15)</f>
        <v>41409</v>
      </c>
      <c r="AC22" s="2">
        <v>525</v>
      </c>
      <c r="AD22" s="59">
        <f>DATE(A7,5,25)</f>
        <v>41419</v>
      </c>
      <c r="AE22" s="2">
        <v>25</v>
      </c>
      <c r="AF22" s="2">
        <v>1130</v>
      </c>
      <c r="AG22" s="59">
        <f>DATE(A7,11,30)</f>
        <v>41608</v>
      </c>
      <c r="AH22" s="59">
        <f>DATE(A7-1,11,30)</f>
        <v>41243</v>
      </c>
      <c r="AI22" s="44"/>
      <c r="AK22" s="2">
        <v>15</v>
      </c>
      <c r="AL22" s="100" t="s">
        <v>370</v>
      </c>
      <c r="AM22" s="101" t="s">
        <v>371</v>
      </c>
      <c r="AN22" s="102" t="s">
        <v>372</v>
      </c>
      <c r="AO22" s="101" t="s">
        <v>373</v>
      </c>
      <c r="AP22" s="102" t="s">
        <v>374</v>
      </c>
      <c r="AQ22" s="101" t="s">
        <v>375</v>
      </c>
      <c r="AR22" s="102" t="s">
        <v>162</v>
      </c>
      <c r="AS22" s="102" t="s">
        <v>376</v>
      </c>
      <c r="AU22" s="2">
        <v>15</v>
      </c>
      <c r="AV22" s="100" t="s">
        <v>370</v>
      </c>
      <c r="AW22" s="103" t="s">
        <v>371</v>
      </c>
      <c r="AX22" s="104" t="s">
        <v>372</v>
      </c>
      <c r="AY22" s="103" t="s">
        <v>377</v>
      </c>
      <c r="AZ22" s="104" t="s">
        <v>374</v>
      </c>
      <c r="BA22" s="103" t="s">
        <v>378</v>
      </c>
      <c r="BB22" s="104" t="s">
        <v>379</v>
      </c>
      <c r="BC22" s="104" t="s">
        <v>380</v>
      </c>
      <c r="BE22" s="2">
        <v>15</v>
      </c>
      <c r="BF22" s="100" t="s">
        <v>370</v>
      </c>
      <c r="BG22" s="68" t="s">
        <v>381</v>
      </c>
      <c r="BH22" s="69" t="s">
        <v>382</v>
      </c>
      <c r="BI22" s="68" t="s">
        <v>383</v>
      </c>
      <c r="BJ22" s="69" t="s">
        <v>384</v>
      </c>
      <c r="BK22" s="69" t="s">
        <v>385</v>
      </c>
      <c r="BL22" s="69" t="s">
        <v>386</v>
      </c>
      <c r="BM22" s="69" t="s">
        <v>387</v>
      </c>
    </row>
    <row r="23" spans="1:65" ht="12.75">
      <c r="A23" s="94"/>
      <c r="B23" s="105"/>
      <c r="C23" s="47">
        <f>IF(MOD(A7,2),1,2)</f>
        <v>1</v>
      </c>
      <c r="D23" s="48" t="s">
        <v>388</v>
      </c>
      <c r="E23" s="124"/>
      <c r="F23" s="125" t="s">
        <v>316</v>
      </c>
      <c r="G23" s="148" t="s">
        <v>15</v>
      </c>
      <c r="H23" s="126" t="s">
        <v>389</v>
      </c>
      <c r="I23" s="127" t="s">
        <v>390</v>
      </c>
      <c r="J23" s="127" t="s">
        <v>391</v>
      </c>
      <c r="K23" s="127" t="s">
        <v>392</v>
      </c>
      <c r="L23" s="127" t="s">
        <v>393</v>
      </c>
      <c r="M23" s="127" t="s">
        <v>394</v>
      </c>
      <c r="N23" s="128" t="s">
        <v>316</v>
      </c>
      <c r="O23" s="56" t="str">
        <f>D23</f>
        <v>1 Christmas</v>
      </c>
      <c r="P23" s="2">
        <v>2019</v>
      </c>
      <c r="Q23" s="2">
        <v>421</v>
      </c>
      <c r="R23" s="59">
        <f>DATE(P23,4,21)</f>
        <v>43576</v>
      </c>
      <c r="S23" s="59">
        <f>DATE(A7,4,7)</f>
        <v>41371</v>
      </c>
      <c r="T23" s="59">
        <f>DATE(A7-1,4,7)</f>
        <v>41006</v>
      </c>
      <c r="U23" s="2">
        <v>407</v>
      </c>
      <c r="V23" s="2">
        <v>3</v>
      </c>
      <c r="W23" s="2">
        <v>203</v>
      </c>
      <c r="X23" s="59">
        <f>DATE(A7,2,3)</f>
        <v>41308</v>
      </c>
      <c r="Y23" s="2">
        <v>220</v>
      </c>
      <c r="Z23" s="12">
        <f>DATE(A7,2,20)</f>
        <v>41325</v>
      </c>
      <c r="AA23" s="2">
        <v>516</v>
      </c>
      <c r="AB23" s="59">
        <f>DATE(A7,5,16)</f>
        <v>41410</v>
      </c>
      <c r="AC23" s="2">
        <v>526</v>
      </c>
      <c r="AD23" s="59">
        <f>DATE(A7,5,26)</f>
        <v>41420</v>
      </c>
      <c r="AE23" s="2">
        <v>25</v>
      </c>
      <c r="AF23" s="2">
        <v>1201</v>
      </c>
      <c r="AG23" s="59">
        <f>DATE(A7,12,1)</f>
        <v>41609</v>
      </c>
      <c r="AH23" s="59">
        <f>DATE(A7-1,12,1)</f>
        <v>41244</v>
      </c>
      <c r="AI23" s="44"/>
      <c r="AK23" s="2">
        <v>15.5</v>
      </c>
      <c r="AL23" s="129" t="s">
        <v>14</v>
      </c>
      <c r="AM23" s="149" t="s">
        <v>15</v>
      </c>
      <c r="AN23" s="130" t="s">
        <v>389</v>
      </c>
      <c r="AO23" s="131" t="s">
        <v>390</v>
      </c>
      <c r="AP23" s="132" t="s">
        <v>391</v>
      </c>
      <c r="AQ23" s="132" t="s">
        <v>392</v>
      </c>
      <c r="AR23" s="132" t="s">
        <v>393</v>
      </c>
      <c r="AS23" s="132" t="s">
        <v>394</v>
      </c>
      <c r="AU23" s="2">
        <v>15.5</v>
      </c>
      <c r="AV23" s="129" t="s">
        <v>14</v>
      </c>
      <c r="AW23" s="150" t="s">
        <v>15</v>
      </c>
      <c r="AX23" s="134" t="s">
        <v>389</v>
      </c>
      <c r="AY23" s="135" t="s">
        <v>390</v>
      </c>
      <c r="AZ23" s="136" t="s">
        <v>391</v>
      </c>
      <c r="BA23" s="136" t="s">
        <v>392</v>
      </c>
      <c r="BB23" s="136" t="s">
        <v>393</v>
      </c>
      <c r="BC23" s="136" t="s">
        <v>394</v>
      </c>
      <c r="BE23" s="2">
        <v>15.5</v>
      </c>
      <c r="BF23" s="129" t="s">
        <v>14</v>
      </c>
      <c r="BG23" s="68" t="s">
        <v>395</v>
      </c>
      <c r="BH23" s="69" t="s">
        <v>396</v>
      </c>
      <c r="BI23" s="68" t="s">
        <v>397</v>
      </c>
      <c r="BJ23" s="69" t="s">
        <v>398</v>
      </c>
      <c r="BK23" s="69" t="s">
        <v>399</v>
      </c>
      <c r="BL23" s="69" t="s">
        <v>400</v>
      </c>
      <c r="BM23" s="69" t="s">
        <v>401</v>
      </c>
    </row>
    <row r="24" spans="1:65" ht="12.75">
      <c r="A24" s="94"/>
      <c r="B24" s="105"/>
      <c r="C24" s="4"/>
      <c r="D24" s="138"/>
      <c r="E24" s="139">
        <v>16</v>
      </c>
      <c r="F24" s="140" t="s">
        <v>402</v>
      </c>
      <c r="G24" s="141" t="str">
        <f>IF(ISBLANK(BG7),IF(MOD(A7,2),LOOKUP(E24,AK7:AM182),LOOKUP(E24,AU:AW)),IF(C27&gt;2,LOOKUP(E24,BE:BG),IF(C27=2,LOOKUP(E24,AU:AW),LOOKUP(E24,AK:AM))))</f>
        <v>Isaiah 62:6-7,10-12,</v>
      </c>
      <c r="H24" s="142" t="str">
        <f>IF(ISBLANK(BG7),IF(MOD(A7,2),LOOKUP(E24,AK7:AN182),LOOKUP(E24,AU:AX)),IF(C27&gt;2,LOOKUP(E24,BE:BH),IF(C27=2,LOOKUP(E24,AU:AX),LOOKUP(E24,AK:AN))))</f>
        <v>Genesis 17:1-12a, 15-16,</v>
      </c>
      <c r="I24" s="142" t="str">
        <f>IF(ISBLANK(BG7),IF(MOD(A7,2),LOOKUP(E24,AK7:AO182),LOOKUP(E24,AU:AY)),IF(C27&gt;2,LOOKUP(E24,BE:BI),IF(C27=2,LOOKUP(E24,AU:AY),LOOKUP(E24,AK:AO))))</f>
        <v>Genesis 12:1-7,</v>
      </c>
      <c r="J24" s="142" t="str">
        <f>IF(ISBLANK(BG7),IF(MOD(A7,2),LOOKUP(E24,AK7:AP182),LOOKUP(E24,AU:AZ)),IF(C27&gt;2,LOOKUP(E24,BE:BJ),IF(C27=2,LOOKUP(E24,AU:AZ),LOOKUP(E24,AK:AP))))</f>
        <v>Genesis 28:10-22,</v>
      </c>
      <c r="K24" s="142" t="str">
        <f>IF(ISBLANK(BG7),IF(MOD(A7,2),LOOKUP(E24,AK7:AQ182),LOOKUP(E24,AU:BA)),IF(C27&gt;2,LOOKUP(E24,BE:BK),IF(C27=2,LOOKUP(E24,AU:BA),LOOKUP(E24,AK:AQ))))</f>
        <v>Exodus 3:1-15,</v>
      </c>
      <c r="L24" s="142" t="str">
        <f>IF(ISBLANK(BG7),IF(MOD(A7,2),LOOKUP(E24,AK7:AR182),LOOKUP(E24,AU:BB)),IF(C27&gt;2,LOOKUP(E24,BE:BL),IF(C27=2,LOOKUP(E24,AU:BB),LOOKUP(E24,AK:AR))))</f>
        <v>Joshua 1:1-9,</v>
      </c>
      <c r="M24" s="142" t="str">
        <f>IF(ISBLANK(BG7),IF(MOD(A7,2),LOOKUP(E24,AK7:AS182),LOOKUP(E24,AU:BC)),IF(C27&gt;2,LOOKUP(E24,BE:BM),IF(C27=2,LOOKUP(E24,AU:BC),LOOKUP(E24,AK:AS))))</f>
        <v>Isaiah 52:7-10,</v>
      </c>
      <c r="N24" s="143" t="s">
        <v>402</v>
      </c>
      <c r="O24" s="78"/>
      <c r="P24" s="2">
        <v>2020</v>
      </c>
      <c r="Q24" s="2">
        <v>412</v>
      </c>
      <c r="R24" s="59">
        <f>DATE(P24,4,12)</f>
        <v>43933</v>
      </c>
      <c r="S24" s="59">
        <f>DATE(A7,4,8)</f>
        <v>41372</v>
      </c>
      <c r="T24" s="59">
        <f>DATE(A7-1,4,8)</f>
        <v>41007</v>
      </c>
      <c r="U24" s="2">
        <v>408</v>
      </c>
      <c r="V24" s="2">
        <v>4</v>
      </c>
      <c r="W24" s="2">
        <v>204</v>
      </c>
      <c r="X24" s="59">
        <f>DATE(A7,2,4)</f>
        <v>41309</v>
      </c>
      <c r="Y24" s="2">
        <v>221</v>
      </c>
      <c r="Z24" s="12">
        <f>DATE(A7,2,21)</f>
        <v>41326</v>
      </c>
      <c r="AA24" s="2">
        <v>517</v>
      </c>
      <c r="AB24" s="59">
        <f>DATE(A7,5,17)</f>
        <v>41411</v>
      </c>
      <c r="AC24" s="2">
        <v>527</v>
      </c>
      <c r="AD24" s="59">
        <f>DATE(A7,5,27)</f>
        <v>41421</v>
      </c>
      <c r="AE24" s="2">
        <v>25</v>
      </c>
      <c r="AF24" s="2">
        <v>1202</v>
      </c>
      <c r="AG24" s="59">
        <f>DATE(A7,12,2)</f>
        <v>41610</v>
      </c>
      <c r="AH24" s="59">
        <f>DATE(A7-1,12,2)</f>
        <v>41245</v>
      </c>
      <c r="AI24" s="44"/>
      <c r="AK24" s="2">
        <v>16</v>
      </c>
      <c r="AL24" s="62" t="s">
        <v>403</v>
      </c>
      <c r="AM24" s="63" t="s">
        <v>404</v>
      </c>
      <c r="AN24" s="64" t="s">
        <v>405</v>
      </c>
      <c r="AO24" s="63" t="s">
        <v>406</v>
      </c>
      <c r="AP24" s="64" t="s">
        <v>407</v>
      </c>
      <c r="AQ24" s="64" t="s">
        <v>408</v>
      </c>
      <c r="AR24" s="64" t="s">
        <v>409</v>
      </c>
      <c r="AS24" s="64" t="s">
        <v>410</v>
      </c>
      <c r="AU24" s="2">
        <v>16</v>
      </c>
      <c r="AV24" s="62" t="s">
        <v>403</v>
      </c>
      <c r="AW24" s="66" t="s">
        <v>411</v>
      </c>
      <c r="AX24" s="67" t="s">
        <v>412</v>
      </c>
      <c r="AY24" s="66" t="s">
        <v>413</v>
      </c>
      <c r="AZ24" s="67" t="s">
        <v>414</v>
      </c>
      <c r="BA24" s="67" t="s">
        <v>415</v>
      </c>
      <c r="BB24" s="67" t="s">
        <v>416</v>
      </c>
      <c r="BC24" s="67" t="s">
        <v>417</v>
      </c>
      <c r="BE24" s="2">
        <v>16</v>
      </c>
      <c r="BF24" s="62" t="s">
        <v>403</v>
      </c>
      <c r="BG24" s="68" t="s">
        <v>418</v>
      </c>
      <c r="BH24" s="69" t="s">
        <v>419</v>
      </c>
      <c r="BI24" s="68" t="s">
        <v>420</v>
      </c>
      <c r="BJ24" s="69" t="s">
        <v>421</v>
      </c>
      <c r="BK24" s="69" t="s">
        <v>422</v>
      </c>
      <c r="BL24" s="69" t="s">
        <v>423</v>
      </c>
      <c r="BM24" s="69" t="s">
        <v>424</v>
      </c>
    </row>
    <row r="25" spans="1:65" ht="12.75">
      <c r="A25" s="94" t="s">
        <v>425</v>
      </c>
      <c r="B25" s="105">
        <f>LOOKUP(AI28,T6:AH152)</f>
        <v>41245</v>
      </c>
      <c r="C25" t="s">
        <v>426</v>
      </c>
      <c r="D25" s="72"/>
      <c r="E25" s="139">
        <v>17</v>
      </c>
      <c r="F25" s="140"/>
      <c r="G25" s="141" t="str">
        <f>IF(ISBLANK(BG7),IF(MOD(A7,2),LOOKUP(E25,AK7:AM182),LOOKUP(E25,AU:AW)),IF(C27&gt;2,LOOKUP(E25,BE:BG),IF(C27=2,LOOKUP(E25,AU:AW),LOOKUP(E25,AK:AM))))</f>
        <v>Hebrews 2:10-18,</v>
      </c>
      <c r="H25" s="142" t="str">
        <f>IF(ISBLANK(BG7),IF(MOD(A7,2),LOOKUP(E25,AK7:AN182),LOOKUP(E25,AU:AX)),IF(C27&gt;2,LOOKUP(E25,BE:BH),IF(C27=2,LOOKUP(E25,AU:AX),LOOKUP(E25,AK:AN))))</f>
        <v>Colossians 2:6-12,</v>
      </c>
      <c r="I25" s="142" t="str">
        <f>IF(ISBLANK(BG7),IF(MOD(A7,2),LOOKUP(E25,AK7:AO182),LOOKUP(E25,AU:AY)),IF(C27&gt;2,LOOKUP(E25,BE:BI),IF(C27=2,LOOKUP(E25,AU:AY),LOOKUP(E25,AK:AO))))</f>
        <v>Hebrews 11:1-12,</v>
      </c>
      <c r="J25" s="142" t="str">
        <f>IF(ISBLANK(BG7),IF(MOD(A7,2),LOOKUP(E25,AK7:AP182),LOOKUP(E25,AU:AZ)),IF(C27&gt;2,LOOKUP(E25,BE:BJ),IF(C27=2,LOOKUP(E25,AU:AZ),LOOKUP(E25,AK:AP))))</f>
        <v>Hebrews 11:13-22,</v>
      </c>
      <c r="K25" s="142" t="str">
        <f>IF(ISBLANK(BG7),IF(MOD(A7,2),LOOKUP(E25,AK7:AQ182),LOOKUP(E25,AU:BA)),IF(C27&gt;2,LOOKUP(E25,BE:BK),IF(C27=2,LOOKUP(E25,AU:BA),LOOKUP(E25,AK:AQ))))</f>
        <v>Hebrews 11:23-31,</v>
      </c>
      <c r="L25" s="142" t="str">
        <f>IF(ISBLANK(BG7),IF(MOD(A7,2),LOOKUP(E25,AK7:AR182),LOOKUP(E25,AU:BB)),IF(C27&gt;2,LOOKUP(E25,BE:BL),IF(C27=2,LOOKUP(E25,AU:BB),LOOKUP(E25,AK:AR))))</f>
        <v>Hebrews 11:32-12:2,</v>
      </c>
      <c r="M25" s="142" t="str">
        <f>IF(ISBLANK(BG7),IF(MOD(A7,2),LOOKUP(E25,AK7:AS182),LOOKUP(E25,AU:BC)),IF(C27&gt;2,LOOKUP(E25,BE:BM),IF(C27=2,LOOKUP(E25,AU:BC),LOOKUP(E25,AK:AS))))</f>
        <v>Revelation 21:22-27,</v>
      </c>
      <c r="N25" s="143"/>
      <c r="O25" s="78"/>
      <c r="P25" s="2">
        <v>2021</v>
      </c>
      <c r="Q25" s="2">
        <v>404</v>
      </c>
      <c r="R25" s="59">
        <f>DATE(P25,4,4)</f>
        <v>44290</v>
      </c>
      <c r="S25" s="59">
        <f>DATE(A7,4,9)</f>
        <v>41373</v>
      </c>
      <c r="T25" s="59">
        <f>DATE(A7-1,4,9)</f>
        <v>41008</v>
      </c>
      <c r="U25" s="2">
        <v>409</v>
      </c>
      <c r="V25" s="2">
        <v>4</v>
      </c>
      <c r="W25" s="2">
        <v>205</v>
      </c>
      <c r="X25" s="59">
        <f>DATE(A7,2,5)</f>
        <v>41310</v>
      </c>
      <c r="Y25" s="2">
        <v>222</v>
      </c>
      <c r="Z25" s="12">
        <f>DATE(A7,2,22)</f>
        <v>41327</v>
      </c>
      <c r="AA25" s="2">
        <v>518</v>
      </c>
      <c r="AB25" s="59">
        <f>DATE(A7,5,18)</f>
        <v>41412</v>
      </c>
      <c r="AC25" s="2">
        <v>528</v>
      </c>
      <c r="AD25" s="59">
        <f>DATE(A7,5,28)</f>
        <v>41422</v>
      </c>
      <c r="AE25" s="2">
        <v>25</v>
      </c>
      <c r="AF25" s="2">
        <v>1203</v>
      </c>
      <c r="AG25" s="59">
        <f>DATE(A7,12,3)</f>
        <v>41611</v>
      </c>
      <c r="AH25" s="59">
        <f>DATE(A7-1,12,3)</f>
        <v>41246</v>
      </c>
      <c r="AI25" s="44"/>
      <c r="AK25" s="2">
        <v>17</v>
      </c>
      <c r="AL25" s="62" t="s">
        <v>427</v>
      </c>
      <c r="AM25" s="63" t="s">
        <v>428</v>
      </c>
      <c r="AN25" s="64" t="s">
        <v>429</v>
      </c>
      <c r="AO25" s="63" t="s">
        <v>430</v>
      </c>
      <c r="AP25" s="64" t="s">
        <v>431</v>
      </c>
      <c r="AQ25" s="64" t="s">
        <v>432</v>
      </c>
      <c r="AR25" s="64" t="s">
        <v>433</v>
      </c>
      <c r="AS25" s="64" t="s">
        <v>434</v>
      </c>
      <c r="AU25" s="2">
        <v>17</v>
      </c>
      <c r="AV25" s="62" t="s">
        <v>427</v>
      </c>
      <c r="AW25" s="66" t="s">
        <v>435</v>
      </c>
      <c r="AX25" s="67" t="s">
        <v>436</v>
      </c>
      <c r="AY25" s="66" t="s">
        <v>437</v>
      </c>
      <c r="AZ25" s="67" t="s">
        <v>438</v>
      </c>
      <c r="BA25" s="67" t="s">
        <v>439</v>
      </c>
      <c r="BB25" s="67" t="s">
        <v>275</v>
      </c>
      <c r="BC25" s="67" t="s">
        <v>434</v>
      </c>
      <c r="BE25" s="2">
        <v>17</v>
      </c>
      <c r="BF25" s="62" t="s">
        <v>427</v>
      </c>
      <c r="BG25" s="68" t="s">
        <v>440</v>
      </c>
      <c r="BH25" s="69" t="s">
        <v>441</v>
      </c>
      <c r="BI25" s="68" t="s">
        <v>442</v>
      </c>
      <c r="BJ25" s="69" t="s">
        <v>443</v>
      </c>
      <c r="BK25" s="69" t="s">
        <v>444</v>
      </c>
      <c r="BL25" s="69" t="s">
        <v>445</v>
      </c>
      <c r="BM25" s="69" t="s">
        <v>446</v>
      </c>
    </row>
    <row r="26" spans="1:65" ht="12.75">
      <c r="A26" s="92"/>
      <c r="B26" s="71"/>
      <c r="C26" s="151">
        <f>A7-2002</f>
        <v>11</v>
      </c>
      <c r="D26" s="152"/>
      <c r="E26" s="139">
        <v>18</v>
      </c>
      <c r="F26" s="145"/>
      <c r="G26" s="146" t="str">
        <f>IF(ISBLANK(BG7),IF(MOD(A7,2),LOOKUP(E26,AK7:AM182),LOOKUP(E26,AU:AW)),IF(C27&gt;2,LOOKUP(E26,BE:BG),IF(C27=2,LOOKUP(E26,AU:AW),LOOKUP(E26,AK:AM))))</f>
        <v>Matthew 1:18-25</v>
      </c>
      <c r="H26" s="147" t="str">
        <f>IF(ISBLANK(BG7),IF(MOD(A7,2),LOOKUP(E26,AK7:AN182),LOOKUP(E26,AU:AX)),IF(C27&gt;2,LOOKUP(E26,BE:BH),IF(C27=2,LOOKUP(E26,AU:AX),LOOKUP(E26,AK:AN))))</f>
        <v>John 16:23b-30</v>
      </c>
      <c r="I26" s="147" t="str">
        <f>IF(ISBLANK(BG7),IF(MOD(A7,2),LOOKUP(E26,AK7:AO182),LOOKUP(E26,AU:AY)),IF(C27&gt;2,LOOKUP(E26,BE:BI),IF(C27=2,LOOKUP(E26,AU:AY),LOOKUP(E26,AK:AO))))</f>
        <v>John 6:35-42, 48-51</v>
      </c>
      <c r="J26" s="147" t="str">
        <f>IF(ISBLANK(BG7),IF(MOD(A7,2),LOOKUP(E26,AK7:AP182),LOOKUP(E26,AU:AZ)),IF(C27&gt;2,LOOKUP(E26,BE:BJ),IF(C27=2,LOOKUP(E26,AU:AZ),LOOKUP(E26,AK:AP))))</f>
        <v>John 10:7-17</v>
      </c>
      <c r="K26" s="147" t="str">
        <f>IF(ISBLANK(BG7),IF(MOD(A7,2),LOOKUP(E26,AK7:AQ182),LOOKUP(E26,AU:BA)),IF(C27&gt;2,LOOKUP(E26,BE:BK),IF(C27=2,LOOKUP(E26,AU:BA),LOOKUP(E26,AK:AQ))))</f>
        <v>John 14:6-14</v>
      </c>
      <c r="L26" s="147" t="str">
        <f>IF(ISBLANK(BG7),IF(MOD(A7,2),LOOKUP(E26,AK7:AR182),LOOKUP(E26,AU:BB)),IF(C27&gt;2,LOOKUP(E26,BE:BL),IF(C27=2,LOOKUP(E26,AU:BB),LOOKUP(E26,AK:AR))))</f>
        <v>John 15:1-16</v>
      </c>
      <c r="M26" s="147" t="str">
        <f>IF(ISBLANK(BG7),IF(MOD(A7,2),LOOKUP(E26,AK7:AS182),LOOKUP(E26,AU:BC)),IF(C27&gt;2,LOOKUP(E26,BE:BM),IF(C27=2,LOOKUP(E26,AU:BC),LOOKUP(E26,AK:AS))))</f>
        <v>Matthew 12:14-21</v>
      </c>
      <c r="N26" s="153"/>
      <c r="O26" s="99"/>
      <c r="P26" s="2">
        <v>2022</v>
      </c>
      <c r="Q26" s="2">
        <v>417</v>
      </c>
      <c r="R26" s="59">
        <f>DATE(P26,4,17)</f>
        <v>44668</v>
      </c>
      <c r="S26" s="59">
        <f>DATE(A7,4,10)</f>
        <v>41374</v>
      </c>
      <c r="T26" s="59">
        <f>DATE(A7-1,4,10)</f>
        <v>41009</v>
      </c>
      <c r="U26" s="2">
        <v>410</v>
      </c>
      <c r="V26" s="2">
        <v>4</v>
      </c>
      <c r="W26" s="2">
        <v>206</v>
      </c>
      <c r="X26" s="59">
        <f>DATE(A7,2,6)</f>
        <v>41311</v>
      </c>
      <c r="Y26" s="2">
        <v>223</v>
      </c>
      <c r="Z26" s="12">
        <f>DATE(A7,2,23)</f>
        <v>41328</v>
      </c>
      <c r="AA26" s="2">
        <v>519</v>
      </c>
      <c r="AB26" s="59">
        <f>DATE(A7,5,19)</f>
        <v>41413</v>
      </c>
      <c r="AC26" s="2">
        <v>529</v>
      </c>
      <c r="AD26" s="59">
        <f>DATE(A7,5,29)</f>
        <v>41423</v>
      </c>
      <c r="AE26" s="2">
        <v>24</v>
      </c>
      <c r="AF26" s="2">
        <v>1127</v>
      </c>
      <c r="AG26" s="59">
        <f>DATE(A7,11,27)</f>
        <v>41605</v>
      </c>
      <c r="AH26" s="59">
        <f>DATE(A7-1,11,27)</f>
        <v>41240</v>
      </c>
      <c r="AI26" s="44"/>
      <c r="AK26" s="2">
        <v>18</v>
      </c>
      <c r="AL26" s="62" t="s">
        <v>447</v>
      </c>
      <c r="AM26" s="63" t="s">
        <v>307</v>
      </c>
      <c r="AN26" s="64" t="s">
        <v>448</v>
      </c>
      <c r="AO26" s="63" t="s">
        <v>449</v>
      </c>
      <c r="AP26" s="64" t="s">
        <v>450</v>
      </c>
      <c r="AQ26" s="64" t="s">
        <v>451</v>
      </c>
      <c r="AR26" s="64" t="s">
        <v>452</v>
      </c>
      <c r="AS26" s="64" t="s">
        <v>453</v>
      </c>
      <c r="AU26" s="2">
        <v>18</v>
      </c>
      <c r="AV26" s="62" t="s">
        <v>447</v>
      </c>
      <c r="AW26" s="66" t="s">
        <v>454</v>
      </c>
      <c r="AX26" s="67" t="s">
        <v>307</v>
      </c>
      <c r="AY26" s="66" t="s">
        <v>455</v>
      </c>
      <c r="AZ26" s="67" t="s">
        <v>456</v>
      </c>
      <c r="BA26" s="67" t="s">
        <v>457</v>
      </c>
      <c r="BB26" s="67" t="s">
        <v>458</v>
      </c>
      <c r="BC26" s="67" t="s">
        <v>453</v>
      </c>
      <c r="BE26" s="2">
        <v>18</v>
      </c>
      <c r="BF26" s="62" t="s">
        <v>447</v>
      </c>
      <c r="BG26" s="68" t="s">
        <v>459</v>
      </c>
      <c r="BH26" s="69" t="s">
        <v>460</v>
      </c>
      <c r="BI26" s="68" t="s">
        <v>461</v>
      </c>
      <c r="BJ26" s="69" t="s">
        <v>462</v>
      </c>
      <c r="BK26" s="69" t="s">
        <v>463</v>
      </c>
      <c r="BL26" s="69" t="s">
        <v>464</v>
      </c>
      <c r="BM26" s="69" t="s">
        <v>465</v>
      </c>
    </row>
    <row r="27" spans="2:65" ht="12.75">
      <c r="B27" s="154"/>
      <c r="C27" s="155">
        <f>MOD(C26,3)+1</f>
        <v>3</v>
      </c>
      <c r="D27" s="138" t="s">
        <v>466</v>
      </c>
      <c r="E27" s="124"/>
      <c r="F27" s="125" t="s">
        <v>316</v>
      </c>
      <c r="G27" s="156" t="s">
        <v>15</v>
      </c>
      <c r="H27" s="157" t="s">
        <v>467</v>
      </c>
      <c r="I27" s="158" t="s">
        <v>468</v>
      </c>
      <c r="J27" s="158" t="s">
        <v>469</v>
      </c>
      <c r="K27" s="158" t="s">
        <v>470</v>
      </c>
      <c r="L27" s="158" t="s">
        <v>471</v>
      </c>
      <c r="M27" s="158" t="s">
        <v>472</v>
      </c>
      <c r="N27" s="143" t="s">
        <v>316</v>
      </c>
      <c r="O27" s="109" t="str">
        <f>D27</f>
        <v>2 Christmas</v>
      </c>
      <c r="P27" s="2">
        <v>2023</v>
      </c>
      <c r="Q27" s="2">
        <v>409</v>
      </c>
      <c r="R27" s="59">
        <f>DATE(P27,4,9)</f>
        <v>45025</v>
      </c>
      <c r="S27" s="59">
        <f>DATE(A7,4,11)</f>
        <v>41375</v>
      </c>
      <c r="T27" s="59">
        <f>DATE(A7-1,4,11)</f>
        <v>41010</v>
      </c>
      <c r="U27" s="2">
        <v>411</v>
      </c>
      <c r="V27" s="2">
        <v>4</v>
      </c>
      <c r="W27" s="2">
        <v>207</v>
      </c>
      <c r="X27" s="59">
        <f>DATE(A7,2,7)</f>
        <v>41312</v>
      </c>
      <c r="Y27" s="2">
        <v>224</v>
      </c>
      <c r="Z27" s="12">
        <f>DATE(A7,2,24)</f>
        <v>41329</v>
      </c>
      <c r="AA27" s="2">
        <v>520</v>
      </c>
      <c r="AB27" s="59">
        <f>DATE(A7,5,20)</f>
        <v>41414</v>
      </c>
      <c r="AC27" s="2">
        <v>530</v>
      </c>
      <c r="AD27" s="59">
        <f>DATE(A7,5,30)</f>
        <v>41424</v>
      </c>
      <c r="AE27" s="2">
        <v>24</v>
      </c>
      <c r="AF27" s="2">
        <v>1128</v>
      </c>
      <c r="AG27" s="59">
        <f>DATE(A7,11,28)</f>
        <v>41606</v>
      </c>
      <c r="AH27" s="59">
        <f>DATE(A7-1,11,28)</f>
        <v>41241</v>
      </c>
      <c r="AI27" s="159" t="s">
        <v>473</v>
      </c>
      <c r="AK27" s="2">
        <v>18.5</v>
      </c>
      <c r="AL27" s="160" t="s">
        <v>14</v>
      </c>
      <c r="AM27" s="161" t="s">
        <v>15</v>
      </c>
      <c r="AN27" s="130" t="s">
        <v>467</v>
      </c>
      <c r="AO27" s="132" t="s">
        <v>468</v>
      </c>
      <c r="AP27" s="132" t="s">
        <v>469</v>
      </c>
      <c r="AQ27" s="132" t="s">
        <v>470</v>
      </c>
      <c r="AR27" s="132" t="s">
        <v>471</v>
      </c>
      <c r="AS27" s="132" t="s">
        <v>472</v>
      </c>
      <c r="AU27" s="2">
        <v>18.5</v>
      </c>
      <c r="AV27" s="160" t="s">
        <v>14</v>
      </c>
      <c r="AW27" s="162" t="s">
        <v>15</v>
      </c>
      <c r="AX27" s="134" t="s">
        <v>467</v>
      </c>
      <c r="AY27" s="135" t="s">
        <v>468</v>
      </c>
      <c r="AZ27" s="136" t="s">
        <v>469</v>
      </c>
      <c r="BA27" s="136" t="s">
        <v>470</v>
      </c>
      <c r="BB27" s="136" t="s">
        <v>471</v>
      </c>
      <c r="BC27" s="136" t="s">
        <v>472</v>
      </c>
      <c r="BE27" s="2">
        <v>18.5</v>
      </c>
      <c r="BF27" s="160" t="s">
        <v>14</v>
      </c>
      <c r="BG27" s="68" t="s">
        <v>474</v>
      </c>
      <c r="BH27" s="69" t="s">
        <v>475</v>
      </c>
      <c r="BI27" s="68" t="s">
        <v>476</v>
      </c>
      <c r="BJ27" s="69" t="s">
        <v>477</v>
      </c>
      <c r="BK27" s="69" t="s">
        <v>478</v>
      </c>
      <c r="BL27" s="69" t="s">
        <v>479</v>
      </c>
      <c r="BM27" s="69" t="s">
        <v>480</v>
      </c>
    </row>
    <row r="28" spans="2:65" ht="12.75">
      <c r="B28" s="4"/>
      <c r="C28" t="s">
        <v>481</v>
      </c>
      <c r="D28" s="72"/>
      <c r="E28" s="139">
        <v>19</v>
      </c>
      <c r="F28" s="140" t="s">
        <v>482</v>
      </c>
      <c r="G28" s="141" t="str">
        <f>IF(ISBLANK(BG7),IF(MOD(A7,2),LOOKUP(E28,AK7:AM182),LOOKUP(E28,AU:AW)),IF(C27&gt;2,LOOKUP(E28,BE:BG),IF(C27=2,LOOKUP(E28,AU:AW),LOOKUP(E28,AK:AM))))</f>
        <v>Deuteronomy 33:1-5,</v>
      </c>
      <c r="H28" s="142" t="str">
        <f>IF(ISBLANK(BG7),IF(MOD(A7,2),LOOKUP(E28,AK7:AN182),LOOKUP(E28,AU:AX)),IF(C27&gt;2,LOOKUP(E28,BE:BH),IF(C27=2,LOOKUP(E28,AU:AX),LOOKUP(E28,AK:AN))))</f>
        <v>Isaiah 52:3-6,</v>
      </c>
      <c r="I28" s="142" t="str">
        <f>IF(ISBLANK(BG7),IF(MOD(A7,2),LOOKUP(E28,AK7:AO182),LOOKUP(E28,AU:AY)),IF(C27&gt;2,LOOKUP(E28,BE:BI),IF(C27=2,LOOKUP(E28,AU:AY),LOOKUP(E28,AK:AO))))</f>
        <v>Isaiah 59:15b-21,</v>
      </c>
      <c r="J28" s="142" t="str">
        <f>IF(ISBLANK(BG7),IF(MOD(A7,2),LOOKUP(E28,AK7:AP182),LOOKUP(E28,AU:AZ)),IF(C27&gt;2,LOOKUP(E28,BE:BJ),IF(C27=2,LOOKUP(E28,AU:AZ),LOOKUP(E28,AK:AP))))</f>
        <v>Isaiah 63:1-5,</v>
      </c>
      <c r="K28" s="142" t="str">
        <f>IF(ISBLANK(BG7),IF(MOD(A7,2),LOOKUP(E28,AK7:AQ182),LOOKUP(E28,AU:BA)),IF(C27&gt;2,LOOKUP(E28,BE:BK),IF(C27=2,LOOKUP(E28,AU:BA),LOOKUP(E28,AK:AQ))))</f>
        <v>Isaiah 65:1-9,</v>
      </c>
      <c r="L28" s="163" t="str">
        <f>IF(ISBLANK(BG7),IF(MOD(A7,2),LOOKUP(E28,AK7:AR182),LOOKUP(E28,AU:BB)),IF(C27&gt;2,LOOKUP(E28,BE:BL),IF(C27=2,LOOKUP(E28,AU:BB),LOOKUP(E28,AK:AR))))</f>
        <v>Isaiah 65:13-16,</v>
      </c>
      <c r="M28" s="142" t="str">
        <f>IF(ISBLANK(BG7),IF(MOD(A7,2),LOOKUP(E28,AK7:AS182),LOOKUP(E28,AU:BC)),IF(C27&gt;2,LOOKUP(E28,BE:BM),IF(C27=2,LOOKUP(E28,AU:BC),LOOKUP(E28,AK:AS))))</f>
        <v>Isaiah 66:1-2, 22-23,</v>
      </c>
      <c r="N28" s="143" t="s">
        <v>482</v>
      </c>
      <c r="O28" s="78"/>
      <c r="P28" s="2">
        <v>2024</v>
      </c>
      <c r="Q28" s="2">
        <v>331</v>
      </c>
      <c r="R28" s="59">
        <f>DATE(P28,3,31)</f>
        <v>45382</v>
      </c>
      <c r="S28" s="59">
        <f>DATE(A7,4,12)</f>
        <v>41376</v>
      </c>
      <c r="T28" s="59">
        <f>DATE(A7-1,4,12)</f>
        <v>41011</v>
      </c>
      <c r="U28" s="2">
        <v>412</v>
      </c>
      <c r="V28" s="2">
        <v>4</v>
      </c>
      <c r="W28" s="2">
        <v>208</v>
      </c>
      <c r="X28" s="59">
        <f>DATE(A7,2,8)</f>
        <v>41313</v>
      </c>
      <c r="Y28" s="2">
        <v>225</v>
      </c>
      <c r="Z28" s="12">
        <f>DATE(A7,2,25)</f>
        <v>41330</v>
      </c>
      <c r="AA28" s="2">
        <v>521</v>
      </c>
      <c r="AB28" s="59">
        <f>DATE(A7,5,21)</f>
        <v>41415</v>
      </c>
      <c r="AC28" s="2">
        <v>531</v>
      </c>
      <c r="AD28" s="59">
        <f>DATE(A7,5,31)</f>
        <v>41425</v>
      </c>
      <c r="AE28" s="2">
        <v>24</v>
      </c>
      <c r="AF28" s="2">
        <v>1129</v>
      </c>
      <c r="AG28" s="59">
        <f>DATE(A7,11,29)</f>
        <v>41607</v>
      </c>
      <c r="AH28" s="59">
        <f>DATE(A7-1,11,29)</f>
        <v>41242</v>
      </c>
      <c r="AI28" s="164">
        <f>LOOKUP(A7-1,P6:R85)</f>
        <v>41007</v>
      </c>
      <c r="AK28" s="2">
        <v>19</v>
      </c>
      <c r="AL28" s="62" t="s">
        <v>483</v>
      </c>
      <c r="AM28" s="63" t="s">
        <v>484</v>
      </c>
      <c r="AN28" s="64" t="s">
        <v>485</v>
      </c>
      <c r="AO28" s="63" t="s">
        <v>486</v>
      </c>
      <c r="AP28" s="64" t="s">
        <v>487</v>
      </c>
      <c r="AQ28" s="64" t="s">
        <v>488</v>
      </c>
      <c r="AR28" s="64" t="s">
        <v>489</v>
      </c>
      <c r="AS28" s="64" t="s">
        <v>490</v>
      </c>
      <c r="AU28" s="2">
        <v>19</v>
      </c>
      <c r="AV28" s="62" t="s">
        <v>483</v>
      </c>
      <c r="AW28" s="66" t="s">
        <v>343</v>
      </c>
      <c r="AX28" s="67" t="s">
        <v>491</v>
      </c>
      <c r="AY28" s="66" t="s">
        <v>492</v>
      </c>
      <c r="AZ28" s="67" t="s">
        <v>493</v>
      </c>
      <c r="BA28" s="67" t="s">
        <v>494</v>
      </c>
      <c r="BB28" s="67" t="s">
        <v>495</v>
      </c>
      <c r="BC28" s="67" t="s">
        <v>496</v>
      </c>
      <c r="BE28" s="2">
        <v>19</v>
      </c>
      <c r="BF28" s="62" t="s">
        <v>483</v>
      </c>
      <c r="BG28" s="68" t="s">
        <v>497</v>
      </c>
      <c r="BH28" s="69" t="s">
        <v>498</v>
      </c>
      <c r="BI28" s="68" t="s">
        <v>499</v>
      </c>
      <c r="BJ28" s="69" t="s">
        <v>500</v>
      </c>
      <c r="BK28" s="69" t="s">
        <v>501</v>
      </c>
      <c r="BL28" s="69" t="s">
        <v>502</v>
      </c>
      <c r="BM28" s="69" t="s">
        <v>503</v>
      </c>
    </row>
    <row r="29" spans="2:65" ht="12.75">
      <c r="B29" s="155"/>
      <c r="C29" s="95">
        <f>IF(ISBLANK(BG7),C23,C27)</f>
        <v>1</v>
      </c>
      <c r="D29" s="138"/>
      <c r="E29" s="139">
        <v>20</v>
      </c>
      <c r="F29" s="140"/>
      <c r="G29" s="141" t="str">
        <f>IF(ISBLANK(BG7),IF(MOD(A7,2),LOOKUP(E29,AK7:AM182),LOOKUP(E29,AU:AW)),IF(C27&gt;2,LOOKUP(E29,BE:BG),IF(C27=2,LOOKUP(E29,AU:AW),LOOKUP(E29,AK:AM))))</f>
        <v>1 John 2:12-17,</v>
      </c>
      <c r="H29" s="142" t="str">
        <f>IF(ISBLANK(BG7),IF(MOD(A7,2),LOOKUP(E29,AK7:AN182),LOOKUP(E29,AU:AX)),IF(C27&gt;2,LOOKUP(E29,BE:BH),IF(C27=2,LOOKUP(E29,AU:AX),LOOKUP(E29,AK:AN))))</f>
        <v>Revelation 2:1-7,</v>
      </c>
      <c r="I29" s="142" t="str">
        <f>IF(ISBLANK(BG7),IF(MOD(A7,2),LOOKUP(E29,AK7:AO182),LOOKUP(E29,AU:AY)),IF(C27&gt;2,LOOKUP(E29,BE:BI),IF(C27=2,LOOKUP(E29,AU:AY),LOOKUP(E29,AK:AO))))</f>
        <v>Revelation 2:8-17,</v>
      </c>
      <c r="J29" s="142" t="str">
        <f>IF(ISBLANK(BG7),IF(MOD(A7,2),LOOKUP(E29,AK7:AP182),LOOKUP(E29,AU:AZ)),IF(C27&gt;2,LOOKUP(E29,BE:BJ),IF(C27=2,LOOKUP(E29,AU:AZ),LOOKUP(E29,AK:AP))))</f>
        <v>Revelation 2:18-29,</v>
      </c>
      <c r="K29" s="142" t="str">
        <f>IF(ISBLANK(BG7),IF(MOD(A7,2),LOOKUP(E29,AK7:AQ182),LOOKUP(E29,AU:BA)),IF(C27&gt;2,LOOKUP(E29,BE:BK),IF(C27=2,LOOKUP(E29,AU:BA),LOOKUP(E29,AK:AQ))))</f>
        <v>Revelation 3:1-6,</v>
      </c>
      <c r="L29" s="142" t="str">
        <f>IF(ISBLANK(BG7),IF(MOD(A7,2),LOOKUP(E29,AK7:AR182),LOOKUP(E29,AU:BB)),IF(C27&gt;2,LOOKUP(E29,BE:BL),IF(C27=2,LOOKUP(E29,AU:BB),LOOKUP(E29,AK:AR))))</f>
        <v>Revelation 3:7-13,</v>
      </c>
      <c r="M29" s="142" t="str">
        <f>IF(ISBLANK(BG7),IF(MOD(A7,2),LOOKUP(E29,AK7:AS182),LOOKUP(E29,AU:BC)),IF(C27&gt;2,LOOKUP(E29,BE:BM),IF(C27=2,LOOKUP(E29,AU:BC),LOOKUP(E29,AK:AS))))</f>
        <v>Revelation 3:14-22,</v>
      </c>
      <c r="N29" s="143"/>
      <c r="O29" s="78"/>
      <c r="P29" s="2">
        <v>2025</v>
      </c>
      <c r="Q29" s="2">
        <v>420</v>
      </c>
      <c r="R29" s="59">
        <f>DATE(P29,4,20)</f>
        <v>45767</v>
      </c>
      <c r="S29" s="59">
        <f>DATE(A7,4,13)</f>
        <v>41377</v>
      </c>
      <c r="T29" s="59">
        <f>DATE(A7-1,4,13)</f>
        <v>41012</v>
      </c>
      <c r="U29" s="2">
        <v>413</v>
      </c>
      <c r="V29" s="2">
        <v>4</v>
      </c>
      <c r="W29" s="2">
        <v>209</v>
      </c>
      <c r="X29" s="59">
        <f>DATE(A7,2,9)</f>
        <v>41314</v>
      </c>
      <c r="Y29" s="2">
        <v>226</v>
      </c>
      <c r="Z29" s="12">
        <f>DATE(A7,2,26)</f>
        <v>41331</v>
      </c>
      <c r="AA29" s="2">
        <v>522</v>
      </c>
      <c r="AB29" s="59">
        <f>DATE(A7,5,22)</f>
        <v>41416</v>
      </c>
      <c r="AC29" s="2">
        <v>601</v>
      </c>
      <c r="AD29" s="59">
        <f>DATE(A7,6,1)</f>
        <v>41426</v>
      </c>
      <c r="AE29" s="2">
        <v>24</v>
      </c>
      <c r="AF29" s="2">
        <v>1130</v>
      </c>
      <c r="AG29" s="59">
        <f>DATE(A7,11,30)</f>
        <v>41608</v>
      </c>
      <c r="AH29" s="59">
        <f>DATE(A7-1,11,30)</f>
        <v>41243</v>
      </c>
      <c r="AI29" s="44">
        <f>A7-1</f>
        <v>2012</v>
      </c>
      <c r="AK29" s="2">
        <v>20</v>
      </c>
      <c r="AL29" s="62" t="s">
        <v>504</v>
      </c>
      <c r="AM29" s="63" t="s">
        <v>505</v>
      </c>
      <c r="AN29" s="64" t="s">
        <v>506</v>
      </c>
      <c r="AO29" s="63" t="s">
        <v>147</v>
      </c>
      <c r="AP29" s="64" t="s">
        <v>148</v>
      </c>
      <c r="AQ29" s="64" t="s">
        <v>149</v>
      </c>
      <c r="AR29" s="64" t="s">
        <v>213</v>
      </c>
      <c r="AS29" s="64" t="s">
        <v>507</v>
      </c>
      <c r="AU29" s="2">
        <v>20</v>
      </c>
      <c r="AV29" s="62" t="s">
        <v>504</v>
      </c>
      <c r="AW29" s="66" t="s">
        <v>508</v>
      </c>
      <c r="AX29" s="67" t="s">
        <v>509</v>
      </c>
      <c r="AY29" s="66" t="s">
        <v>510</v>
      </c>
      <c r="AZ29" s="67" t="s">
        <v>511</v>
      </c>
      <c r="BA29" s="67" t="s">
        <v>512</v>
      </c>
      <c r="BB29" s="67" t="s">
        <v>513</v>
      </c>
      <c r="BC29" s="67" t="s">
        <v>514</v>
      </c>
      <c r="BE29" s="2">
        <v>20</v>
      </c>
      <c r="BF29" s="62" t="s">
        <v>504</v>
      </c>
      <c r="BG29" s="68" t="s">
        <v>515</v>
      </c>
      <c r="BH29" s="69" t="s">
        <v>516</v>
      </c>
      <c r="BI29" s="68" t="s">
        <v>517</v>
      </c>
      <c r="BJ29" s="69" t="s">
        <v>518</v>
      </c>
      <c r="BK29" s="69" t="s">
        <v>519</v>
      </c>
      <c r="BL29" s="69" t="s">
        <v>520</v>
      </c>
      <c r="BM29" s="69" t="s">
        <v>521</v>
      </c>
    </row>
    <row r="30" spans="2:65" ht="12.75">
      <c r="B30" s="4"/>
      <c r="C30" s="4" t="str">
        <f>IF(OR(ISBLANK(BG7),(B12&lt;3)),IF(MOD(A7,2),LOOKUP(E7,AK:AM),LOOKUP(E7,AU:AW)),LOOKUP(E7,BE:BG))</f>
        <v>Isaiah 1:1-9,</v>
      </c>
      <c r="D30" s="152"/>
      <c r="E30" s="165">
        <v>21</v>
      </c>
      <c r="F30" s="145"/>
      <c r="G30" s="146" t="str">
        <f>IF(ISBLANK(BG7),IF(MOD(A7,2),LOOKUP(E30,AK7:AM182),LOOKUP(E30,AU:AW)),IF(C27&gt;2,LOOKUP(E30,BE:BG),IF(C27=2,LOOKUP(E30,AU:AW),LOOKUP(E30,AK:AM))))</f>
        <v>John 6:41-47</v>
      </c>
      <c r="H30" s="147" t="str">
        <f>IF(ISBLANK(BG7),IF(MOD(A7,2),LOOKUP(E30,AK7:AN182),LOOKUP(E30,AU:AX)),IF(C27&gt;2,LOOKUP(E30,BE:BH),IF(C27=2,LOOKUP(E30,AU:AX),LOOKUP(E30,AK:AN))))</f>
        <v>John 2:1-11</v>
      </c>
      <c r="I30" s="147" t="str">
        <f>IF(ISBLANK(BG7),IF(MOD(A7,2),LOOKUP(E30,AK7:AO182),LOOKUP(E30,AU:AY)),IF(C27&gt;2,LOOKUP(E30,BE:BI),IF(C27=2,LOOKUP(E30,AU:AY),LOOKUP(E30,AK:AO))))</f>
        <v>John 4:46-54</v>
      </c>
      <c r="J30" s="147" t="str">
        <f>IF(ISBLANK(BG7),IF(MOD(A7,2),LOOKUP(E30,AK7:AP182),LOOKUP(E30,AU:AZ)),IF(C27&gt;2,LOOKUP(E30,BE:BJ),IF(C27=2,LOOKUP(E30,AU:AZ),LOOKUP(E30,AK:AP))))</f>
        <v>John 5:1-15</v>
      </c>
      <c r="K30" s="147" t="str">
        <f>IF(ISBLANK(BG7),IF(MOD(A7,2),LOOKUP(E30,AK7:AQ182),LOOKUP(E30,AU:BA)),IF(C27&gt;2,LOOKUP(E30,BE:BK),IF(C27=2,LOOKUP(E30,AU:BA),LOOKUP(E30,AK:AQ))))</f>
        <v>John 6:1-14</v>
      </c>
      <c r="L30" s="147" t="str">
        <f>IF(ISBLANK(BG7),IF(MOD(A7,2),LOOKUP(E30,AK7:AR182),LOOKUP(E30,AU:BB)),IF(C27&gt;2,LOOKUP(E30,BE:BL),IF(C27=2,LOOKUP(E30,AU:BB),LOOKUP(E30,AK:AR))))</f>
        <v>John 6:15-27</v>
      </c>
      <c r="M30" s="147" t="str">
        <f>IF(ISBLANK(BG7),IF(MOD(A7,2),LOOKUP(E30,AK7:AS182),LOOKUP(E30,AU:BC)),IF(C27&gt;2,LOOKUP(E30,BE:BM),IF(C27=2,LOOKUP(E30,AU:BC),LOOKUP(E30,AK:AS))))</f>
        <v>John 9:1-12, 35-38</v>
      </c>
      <c r="N30" s="153"/>
      <c r="O30" s="78"/>
      <c r="P30" s="2">
        <v>2026</v>
      </c>
      <c r="Q30" s="2">
        <v>405</v>
      </c>
      <c r="R30" s="59">
        <f>DATE(P30,4,5)</f>
        <v>46117</v>
      </c>
      <c r="S30" s="59">
        <f>DATE(A7,4,14)</f>
        <v>41378</v>
      </c>
      <c r="T30" s="59">
        <f>DATE(A7-1,4,14)</f>
        <v>41013</v>
      </c>
      <c r="U30" s="2">
        <v>414</v>
      </c>
      <c r="V30" s="2">
        <v>4</v>
      </c>
      <c r="W30" s="2">
        <v>210</v>
      </c>
      <c r="X30" s="59">
        <f>DATE(A7,2,10)</f>
        <v>41315</v>
      </c>
      <c r="Y30" s="2">
        <v>227</v>
      </c>
      <c r="Z30" s="12">
        <f>DATE(A7,2,27)</f>
        <v>41332</v>
      </c>
      <c r="AA30" s="2">
        <v>523</v>
      </c>
      <c r="AB30" s="59">
        <f>DATE(A7,5,23)</f>
        <v>41417</v>
      </c>
      <c r="AC30" s="2">
        <v>602</v>
      </c>
      <c r="AD30" s="59">
        <f>DATE(A7,6,2)</f>
        <v>41427</v>
      </c>
      <c r="AE30" s="2">
        <v>24</v>
      </c>
      <c r="AF30" s="2">
        <v>1201</v>
      </c>
      <c r="AG30" s="59">
        <f>DATE(A7,12,1)</f>
        <v>41609</v>
      </c>
      <c r="AH30" s="59">
        <f>DATE(A7-1,12,1)</f>
        <v>41244</v>
      </c>
      <c r="AI30" s="44"/>
      <c r="AK30" s="2">
        <v>21</v>
      </c>
      <c r="AL30" s="100" t="s">
        <v>522</v>
      </c>
      <c r="AM30" s="101" t="s">
        <v>523</v>
      </c>
      <c r="AN30" s="102" t="s">
        <v>378</v>
      </c>
      <c r="AO30" s="101" t="s">
        <v>379</v>
      </c>
      <c r="AP30" s="102" t="s">
        <v>380</v>
      </c>
      <c r="AQ30" s="101" t="s">
        <v>455</v>
      </c>
      <c r="AR30" s="102" t="s">
        <v>456</v>
      </c>
      <c r="AS30" s="102" t="s">
        <v>524</v>
      </c>
      <c r="AU30" s="2">
        <v>21</v>
      </c>
      <c r="AV30" s="100" t="s">
        <v>522</v>
      </c>
      <c r="AW30" s="103" t="s">
        <v>523</v>
      </c>
      <c r="AX30" s="104" t="s">
        <v>525</v>
      </c>
      <c r="AY30" s="103" t="s">
        <v>375</v>
      </c>
      <c r="AZ30" s="104" t="s">
        <v>376</v>
      </c>
      <c r="BA30" s="103" t="s">
        <v>450</v>
      </c>
      <c r="BB30" s="104" t="s">
        <v>451</v>
      </c>
      <c r="BC30" s="104" t="s">
        <v>452</v>
      </c>
      <c r="BE30" s="2">
        <v>21</v>
      </c>
      <c r="BF30" s="100" t="s">
        <v>522</v>
      </c>
      <c r="BG30" s="68" t="s">
        <v>526</v>
      </c>
      <c r="BH30" s="69" t="s">
        <v>527</v>
      </c>
      <c r="BI30" s="68" t="s">
        <v>528</v>
      </c>
      <c r="BJ30" s="69" t="s">
        <v>529</v>
      </c>
      <c r="BK30" s="69" t="s">
        <v>530</v>
      </c>
      <c r="BL30" s="69" t="s">
        <v>531</v>
      </c>
      <c r="BM30" s="69" t="s">
        <v>532</v>
      </c>
    </row>
    <row r="31" spans="2:65" ht="12.75">
      <c r="B31" s="4"/>
      <c r="C31" t="s">
        <v>533</v>
      </c>
      <c r="D31" s="48" t="s">
        <v>534</v>
      </c>
      <c r="E31" s="73">
        <v>22</v>
      </c>
      <c r="F31" s="125" t="s">
        <v>534</v>
      </c>
      <c r="G31" s="166" t="str">
        <f>IF(ISBLANK(BG7),IF(MOD(A7,2),LOOKUP(E24,AK7:AS182),LOOKUP(E24,AU:BC)),IF(C27&gt;2,LOOKUP(E24,BE:BM),IF(C27=2,LOOKUP(E24,AU:BC),LOOKUP(E24,AK:AS))))</f>
        <v>Isaiah 52:7-10,</v>
      </c>
      <c r="H31" s="167" t="str">
        <f>AI36</f>
        <v> -------------</v>
      </c>
      <c r="I31" s="168" t="str">
        <f>AI36</f>
        <v> -------------</v>
      </c>
      <c r="J31" s="169" t="str">
        <f>AI36</f>
        <v> -------------</v>
      </c>
      <c r="K31" s="168" t="str">
        <f>AI36</f>
        <v> -------------</v>
      </c>
      <c r="L31" s="168" t="str">
        <f>AI36</f>
        <v> -------------</v>
      </c>
      <c r="M31" s="168" t="str">
        <f>AI36</f>
        <v> -------------</v>
      </c>
      <c r="N31" s="128" t="s">
        <v>534</v>
      </c>
      <c r="O31" s="56" t="str">
        <f>D31</f>
        <v>Epiphany</v>
      </c>
      <c r="P31" s="2">
        <v>2027</v>
      </c>
      <c r="Q31" s="2">
        <v>328</v>
      </c>
      <c r="R31" s="59">
        <f>DATE(P31,3,28)</f>
        <v>46474</v>
      </c>
      <c r="S31" s="59">
        <f>DATE(A7,4,15)</f>
        <v>41379</v>
      </c>
      <c r="T31" s="59">
        <f>DATE(A7-1,4,15)</f>
        <v>41014</v>
      </c>
      <c r="U31" s="2">
        <v>415</v>
      </c>
      <c r="V31" s="2">
        <v>5</v>
      </c>
      <c r="W31" s="2">
        <v>211</v>
      </c>
      <c r="X31" s="59">
        <f>DATE(A7,2,11)</f>
        <v>41316</v>
      </c>
      <c r="Y31" s="2">
        <v>228</v>
      </c>
      <c r="Z31" s="12">
        <f>DATE(A7,2,28)</f>
        <v>41333</v>
      </c>
      <c r="AA31" s="2">
        <v>524</v>
      </c>
      <c r="AB31" s="59">
        <f>DATE(A7,5,24)</f>
        <v>41418</v>
      </c>
      <c r="AC31" s="2">
        <v>603</v>
      </c>
      <c r="AD31" s="59">
        <f>DATE(A7,6,3)</f>
        <v>41428</v>
      </c>
      <c r="AE31" s="2">
        <v>24</v>
      </c>
      <c r="AF31" s="2">
        <v>1202</v>
      </c>
      <c r="AG31" s="59">
        <f>DATE(A7,12,2)</f>
        <v>41610</v>
      </c>
      <c r="AH31" s="59">
        <f>DATE(A7-1,12,2)</f>
        <v>41245</v>
      </c>
      <c r="AI31" s="44"/>
      <c r="AK31" s="2">
        <v>25</v>
      </c>
      <c r="AL31" s="87" t="s">
        <v>535</v>
      </c>
      <c r="AM31" s="88" t="s">
        <v>536</v>
      </c>
      <c r="AN31" s="89" t="s">
        <v>537</v>
      </c>
      <c r="AO31" s="88" t="s">
        <v>538</v>
      </c>
      <c r="AP31" s="89" t="s">
        <v>539</v>
      </c>
      <c r="AQ31" s="88" t="s">
        <v>540</v>
      </c>
      <c r="AR31" s="89" t="s">
        <v>541</v>
      </c>
      <c r="AS31" s="89" t="s">
        <v>542</v>
      </c>
      <c r="AU31" s="2">
        <v>25</v>
      </c>
      <c r="AV31" s="87" t="s">
        <v>535</v>
      </c>
      <c r="AW31" s="90" t="s">
        <v>543</v>
      </c>
      <c r="AX31" s="91" t="s">
        <v>544</v>
      </c>
      <c r="AY31" s="90" t="s">
        <v>545</v>
      </c>
      <c r="AZ31" s="91" t="s">
        <v>546</v>
      </c>
      <c r="BA31" s="91" t="s">
        <v>547</v>
      </c>
      <c r="BB31" s="66" t="s">
        <v>548</v>
      </c>
      <c r="BC31" s="91" t="s">
        <v>549</v>
      </c>
      <c r="BE31" s="2">
        <v>25</v>
      </c>
      <c r="BF31" s="87" t="s">
        <v>535</v>
      </c>
      <c r="BG31" s="68" t="s">
        <v>550</v>
      </c>
      <c r="BH31" s="69" t="s">
        <v>551</v>
      </c>
      <c r="BI31" s="68" t="s">
        <v>552</v>
      </c>
      <c r="BJ31" s="69" t="s">
        <v>553</v>
      </c>
      <c r="BK31" s="69" t="s">
        <v>554</v>
      </c>
      <c r="BL31" s="69" t="s">
        <v>555</v>
      </c>
      <c r="BM31" s="69" t="s">
        <v>556</v>
      </c>
    </row>
    <row r="32" spans="2:65" ht="12.75">
      <c r="B32" s="4"/>
      <c r="C32" s="4" t="str">
        <f>IF(ISNUMBER(D40),IF(OR(ISBLANK(BG7),(B12&lt;3)),IF(MOD(A7,2),LOOKUP(E40,AK:AM),LOOKUP(E40,AU:AW)),LOOKUP(E40,BE:BG)),AI36)</f>
        <v>Isaiah 47:1-15,</v>
      </c>
      <c r="D32" s="72"/>
      <c r="E32" s="73">
        <v>23</v>
      </c>
      <c r="F32" s="140" t="s">
        <v>557</v>
      </c>
      <c r="G32" s="141" t="str">
        <f>IF(ISBLANK(BG7),IF(MOD(A7,2),LOOKUP(E25,AK7:AS182),LOOKUP(E25,AU:BC)),IF(C27&gt;2,LOOKUP(E25,BE:BM),IF(C27=2,LOOKUP(E25,AU:BC),LOOKUP(E25,AK:AS))))</f>
        <v>Revelation 21:22-27,</v>
      </c>
      <c r="H32" s="170" t="str">
        <f>AI36</f>
        <v> -------------</v>
      </c>
      <c r="I32" s="142" t="str">
        <f>AI36</f>
        <v> -------------</v>
      </c>
      <c r="J32" s="171" t="str">
        <f>AI36</f>
        <v> -------------</v>
      </c>
      <c r="K32" s="142" t="str">
        <f>AI36</f>
        <v> -------------</v>
      </c>
      <c r="L32" s="142" t="str">
        <f>AI36</f>
        <v> -------------</v>
      </c>
      <c r="M32" s="142" t="str">
        <f>AI36</f>
        <v> -------------</v>
      </c>
      <c r="N32" s="143" t="s">
        <v>557</v>
      </c>
      <c r="O32" s="78"/>
      <c r="P32" s="2">
        <v>2028</v>
      </c>
      <c r="Q32" s="2">
        <v>416</v>
      </c>
      <c r="R32" s="59">
        <f>DATE(P32,4,16)</f>
        <v>46859</v>
      </c>
      <c r="S32" s="59">
        <f>DATE(A7,4,16)</f>
        <v>41380</v>
      </c>
      <c r="T32" s="59">
        <f>DATE(A7-1,4,16)</f>
        <v>41015</v>
      </c>
      <c r="U32" s="2">
        <v>416</v>
      </c>
      <c r="V32" s="2">
        <v>5</v>
      </c>
      <c r="W32" s="2">
        <v>212</v>
      </c>
      <c r="X32" s="59">
        <f>DATE(A7,2,12)</f>
        <v>41317</v>
      </c>
      <c r="Y32" s="2">
        <v>301</v>
      </c>
      <c r="Z32" s="12">
        <f>DATE(A7,3,1)</f>
        <v>41334</v>
      </c>
      <c r="AA32" s="2">
        <v>525</v>
      </c>
      <c r="AB32" s="59">
        <f>DATE(A7,5,25)</f>
        <v>41419</v>
      </c>
      <c r="AC32" s="2">
        <v>604</v>
      </c>
      <c r="AD32" s="59">
        <f>DATE(A7,6,4)</f>
        <v>41429</v>
      </c>
      <c r="AE32" s="2">
        <v>24</v>
      </c>
      <c r="AF32" s="2">
        <v>1203</v>
      </c>
      <c r="AG32" s="59">
        <f>DATE(A7,12,3)</f>
        <v>41611</v>
      </c>
      <c r="AH32" s="59">
        <f>DATE(A7-1,12,3)</f>
        <v>41246</v>
      </c>
      <c r="AK32" s="2">
        <v>27</v>
      </c>
      <c r="AL32" s="62" t="s">
        <v>558</v>
      </c>
      <c r="AM32" s="63" t="s">
        <v>559</v>
      </c>
      <c r="AN32" s="64" t="s">
        <v>560</v>
      </c>
      <c r="AO32" s="63" t="s">
        <v>561</v>
      </c>
      <c r="AP32" s="64" t="s">
        <v>562</v>
      </c>
      <c r="AQ32" s="64" t="s">
        <v>563</v>
      </c>
      <c r="AR32" s="64" t="s">
        <v>564</v>
      </c>
      <c r="AS32" s="64" t="s">
        <v>565</v>
      </c>
      <c r="AU32" s="2">
        <v>27</v>
      </c>
      <c r="AV32" s="62" t="s">
        <v>558</v>
      </c>
      <c r="AW32" s="66" t="s">
        <v>566</v>
      </c>
      <c r="AX32" s="67" t="s">
        <v>567</v>
      </c>
      <c r="AY32" s="66" t="s">
        <v>568</v>
      </c>
      <c r="AZ32" s="67" t="s">
        <v>569</v>
      </c>
      <c r="BA32" s="67" t="s">
        <v>570</v>
      </c>
      <c r="BB32" s="66" t="s">
        <v>571</v>
      </c>
      <c r="BC32" s="67" t="s">
        <v>572</v>
      </c>
      <c r="BE32" s="2">
        <v>27</v>
      </c>
      <c r="BF32" s="62" t="s">
        <v>558</v>
      </c>
      <c r="BG32" s="68" t="s">
        <v>573</v>
      </c>
      <c r="BH32" s="69" t="s">
        <v>574</v>
      </c>
      <c r="BI32" s="68" t="s">
        <v>575</v>
      </c>
      <c r="BJ32" s="69" t="s">
        <v>576</v>
      </c>
      <c r="BK32" s="69" t="s">
        <v>577</v>
      </c>
      <c r="BL32" s="69" t="s">
        <v>578</v>
      </c>
      <c r="BM32" s="69" t="s">
        <v>579</v>
      </c>
    </row>
    <row r="33" spans="2:65" ht="12.75">
      <c r="B33" s="4"/>
      <c r="C33" t="s">
        <v>580</v>
      </c>
      <c r="D33" s="152"/>
      <c r="E33" s="96">
        <v>24</v>
      </c>
      <c r="F33" s="145"/>
      <c r="G33" s="146" t="str">
        <f>IF(ISBLANK(BG7),IF(MOD(A7,2),LOOKUP(E26,AK7:AS182),LOOKUP(E26,AU:BC)),IF(C27&gt;2,LOOKUP(E26,BE:BM),IF(C27=2,LOOKUP(E26,AU:BC),LOOKUP(E26,AK:AS))))</f>
        <v>Matthew 12:14-21</v>
      </c>
      <c r="H33" s="172" t="str">
        <f>AI36</f>
        <v> -------------</v>
      </c>
      <c r="I33" s="147" t="str">
        <f>AI36</f>
        <v> -------------</v>
      </c>
      <c r="J33" s="173" t="str">
        <f>AI36</f>
        <v> -------------</v>
      </c>
      <c r="K33" s="147" t="str">
        <f>AI36</f>
        <v> -------------</v>
      </c>
      <c r="L33" s="147" t="str">
        <f>AI36</f>
        <v> -------------</v>
      </c>
      <c r="M33" s="147" t="str">
        <f>AI36</f>
        <v> -------------</v>
      </c>
      <c r="N33" s="153"/>
      <c r="O33" s="99"/>
      <c r="P33" s="2">
        <v>2029</v>
      </c>
      <c r="Q33" s="2">
        <v>401</v>
      </c>
      <c r="R33" s="59">
        <f>DATE(P33,4,1)</f>
        <v>47209</v>
      </c>
      <c r="S33" s="59">
        <f>DATE(A7,4,17)</f>
        <v>41381</v>
      </c>
      <c r="T33" s="59">
        <f>DATE(A7-1,4,17)</f>
        <v>41016</v>
      </c>
      <c r="U33" s="2">
        <v>417</v>
      </c>
      <c r="V33" s="2">
        <v>5</v>
      </c>
      <c r="W33" s="2">
        <v>213</v>
      </c>
      <c r="X33" s="59">
        <f>DATE(A7,2,13)</f>
        <v>41318</v>
      </c>
      <c r="Y33" s="2">
        <v>302</v>
      </c>
      <c r="Z33" s="12">
        <f>DATE(A7,3,2)</f>
        <v>41335</v>
      </c>
      <c r="AA33" s="2">
        <v>526</v>
      </c>
      <c r="AB33" s="59">
        <f>DATE(A7,5,26)</f>
        <v>41420</v>
      </c>
      <c r="AC33" s="2">
        <v>605</v>
      </c>
      <c r="AD33" s="59">
        <f>DATE(A7,6,5)</f>
        <v>41430</v>
      </c>
      <c r="AE33" s="2">
        <v>23</v>
      </c>
      <c r="AF33" s="2">
        <v>1127</v>
      </c>
      <c r="AG33" s="59">
        <f>DATE(A7,11,27)</f>
        <v>41605</v>
      </c>
      <c r="AH33" s="59">
        <f>DATE(A7-1,11,27)</f>
        <v>41240</v>
      </c>
      <c r="AI33" s="174" t="s">
        <v>581</v>
      </c>
      <c r="AK33" s="2">
        <v>28</v>
      </c>
      <c r="AL33" s="100" t="s">
        <v>582</v>
      </c>
      <c r="AM33" s="101" t="s">
        <v>583</v>
      </c>
      <c r="AN33" s="102" t="s">
        <v>584</v>
      </c>
      <c r="AO33" s="101" t="s">
        <v>585</v>
      </c>
      <c r="AP33" s="102" t="s">
        <v>586</v>
      </c>
      <c r="AQ33" s="101" t="s">
        <v>587</v>
      </c>
      <c r="AR33" s="102" t="s">
        <v>588</v>
      </c>
      <c r="AS33" s="102" t="s">
        <v>589</v>
      </c>
      <c r="AU33" s="2">
        <v>28</v>
      </c>
      <c r="AV33" s="100" t="s">
        <v>582</v>
      </c>
      <c r="AW33" s="103" t="s">
        <v>590</v>
      </c>
      <c r="AX33" s="104" t="s">
        <v>591</v>
      </c>
      <c r="AY33" s="103" t="s">
        <v>592</v>
      </c>
      <c r="AZ33" s="104" t="s">
        <v>593</v>
      </c>
      <c r="BA33" s="104" t="s">
        <v>594</v>
      </c>
      <c r="BB33" s="66" t="s">
        <v>595</v>
      </c>
      <c r="BC33" s="104" t="s">
        <v>596</v>
      </c>
      <c r="BE33" s="2">
        <v>28</v>
      </c>
      <c r="BF33" s="100" t="s">
        <v>582</v>
      </c>
      <c r="BG33" s="68" t="s">
        <v>597</v>
      </c>
      <c r="BH33" s="69" t="s">
        <v>598</v>
      </c>
      <c r="BI33" s="68" t="s">
        <v>599</v>
      </c>
      <c r="BJ33" s="69" t="s">
        <v>600</v>
      </c>
      <c r="BK33" s="69" t="s">
        <v>601</v>
      </c>
      <c r="BL33" s="69" t="s">
        <v>602</v>
      </c>
      <c r="BM33" s="69" t="s">
        <v>603</v>
      </c>
    </row>
    <row r="34" spans="2:73" ht="12.75">
      <c r="B34" s="4"/>
      <c r="C34" s="4" t="str">
        <f>IF(ISBLANK(BG7),IF(MOD(A7,2),LOOKUP(E7,AK:AM),LOOKUP(E7,AU:AW)),IF(C27&gt;2,LOOKUP(E7,BE:BG),IF(C27=2,LOOKUP(E7,AU:AW),LOOKUP(E7,AK:AM))))</f>
        <v>Isaiah 1:1-9,</v>
      </c>
      <c r="D34" s="138">
        <f>(D7+42)</f>
        <v>41287</v>
      </c>
      <c r="E34" s="49">
        <v>25</v>
      </c>
      <c r="F34" s="50" t="s">
        <v>604</v>
      </c>
      <c r="G34" s="175" t="str">
        <f>IF(ISBLANK(BG7),IF(MOD(A7,2),LOOKUP(E34,AK7:AM182),LOOKUP(E34,AU:AW)),IF(C27&gt;2,LOOKUP(E34,BE:BG),IF(C27=2,LOOKUP(E34,AU:AW),LOOKUP(E34,AK:AM))))</f>
        <v>Isaiah 40:1-11,</v>
      </c>
      <c r="H34" s="52" t="str">
        <f>IF(ISBLANK(BG7),IF(MOD(A7,2),LOOKUP(E34,AK7:AN182),LOOKUP(E34,AU:AX)),IF(C27&gt;2,LOOKUP(E34,BE:BH),IF(C27=2,LOOKUP(E34,AU:AX),LOOKUP(E34,AK:AN))))</f>
        <v>Isaiah 40:12-24,</v>
      </c>
      <c r="I34" s="176" t="str">
        <f>IF(ISBLANK(BG7),IF(MOD(A7,2),LOOKUP(E34,AK7:AO182),LOOKUP(E34,AU:AY)),IF(C27&gt;2,LOOKUP(E34,BE:BI),IF(C27=2,LOOKUP(E34,AU:AY),LOOKUP(E34,AK:AO))))</f>
        <v>Isaiah 40:25-31,</v>
      </c>
      <c r="J34" s="52" t="str">
        <f>IF(ISBLANK(BG7),IF(MOD(A7,2),LOOKUP(E34,AK7:AP182),LOOKUP(E34,AU:AZ)),IF(C27&gt;2,LOOKUP(E34,BE:BJ),IF(C27=2,LOOKUP(E34,AU:AZ),LOOKUP(E34,AK:AP))))</f>
        <v>Isaiah 41:1-16, </v>
      </c>
      <c r="K34" s="52" t="str">
        <f>IF(ISBLANK(BG7),IF(MOD(A7,2),LOOKUP(E34,AK7:AQ182),LOOKUP(E34,AU:BA)),IF(C27&gt;2,LOOKUP(E34,BE:BK),IF(C27=2,LOOKUP(E34,AU:BA),LOOKUP(E34,AK:AQ))))</f>
        <v>Isaiah 41:17-29,</v>
      </c>
      <c r="L34" s="52" t="str">
        <f>IF(ISBLANK(BG7),IF(MOD(A7,2),LOOKUP(E34,AK7:AR182),LOOKUP(E34,AU:BB)),IF(C27&gt;2,LOOKUP(E34,BE:BL),IF(C27=2,LOOKUP(E34,AU:BB),LOOKUP(E34,AK:AR))))</f>
        <v>Isaiah 42:(1-9) 10-17,</v>
      </c>
      <c r="M34" s="52" t="str">
        <f>IF(ISBLANK(BG7),IF(MOD(A7,2),LOOKUP(E34,AK7:AS182),LOOKUP(E34,AU:BC)),IF(C27&gt;2,LOOKUP(E34,BE:BM),IF(C27=2,LOOKUP(E34,AU:BC),LOOKUP(E34,AK:AS))))</f>
        <v>Isaiah (42:18-25) 43:1-13,</v>
      </c>
      <c r="N34" s="55" t="s">
        <v>604</v>
      </c>
      <c r="O34" s="109">
        <f>D34</f>
        <v>41287</v>
      </c>
      <c r="P34" s="2">
        <v>2030</v>
      </c>
      <c r="Q34" s="2">
        <v>421</v>
      </c>
      <c r="R34" s="59">
        <f>DATE(P34,4,21)</f>
        <v>47594</v>
      </c>
      <c r="S34" s="59">
        <f>DATE(A7,4,18)</f>
        <v>41382</v>
      </c>
      <c r="T34" s="59">
        <f>DATE(A7-1,4,18)</f>
        <v>41017</v>
      </c>
      <c r="U34" s="2">
        <v>418</v>
      </c>
      <c r="V34" s="2">
        <v>5</v>
      </c>
      <c r="W34" s="2">
        <v>214</v>
      </c>
      <c r="X34" s="59">
        <f>DATE(A7,2,14)</f>
        <v>41319</v>
      </c>
      <c r="Y34" s="2">
        <v>303</v>
      </c>
      <c r="Z34" s="12">
        <f>DATE(A7,3,3)</f>
        <v>41336</v>
      </c>
      <c r="AA34" s="2">
        <v>527</v>
      </c>
      <c r="AB34" s="59">
        <f>DATE(A7,5,27)</f>
        <v>41421</v>
      </c>
      <c r="AC34" s="2">
        <v>606</v>
      </c>
      <c r="AD34" s="59">
        <f>DATE(A7,6,6)</f>
        <v>41431</v>
      </c>
      <c r="AE34" s="2">
        <v>23</v>
      </c>
      <c r="AF34" s="2">
        <v>1128</v>
      </c>
      <c r="AG34" s="59">
        <f>DATE(A7,11,28)</f>
        <v>41606</v>
      </c>
      <c r="AH34" s="59">
        <f>DATE(A7-1,11,28)</f>
        <v>41241</v>
      </c>
      <c r="AI34" s="174" t="str">
        <f>IF(ISNUMBER(D37),AI37,AI36)</f>
        <v>Isaiah 44:6-8, 21-23,</v>
      </c>
      <c r="AK34" s="2">
        <v>29</v>
      </c>
      <c r="AL34" s="87" t="s">
        <v>605</v>
      </c>
      <c r="AM34" s="88" t="s">
        <v>606</v>
      </c>
      <c r="AN34" s="89" t="s">
        <v>607</v>
      </c>
      <c r="AO34" s="88" t="s">
        <v>608</v>
      </c>
      <c r="AP34" s="89" t="s">
        <v>609</v>
      </c>
      <c r="AQ34" s="88" t="s">
        <v>610</v>
      </c>
      <c r="AR34" s="89" t="s">
        <v>611</v>
      </c>
      <c r="AS34" s="89" t="s">
        <v>612</v>
      </c>
      <c r="AU34" s="2">
        <v>29</v>
      </c>
      <c r="AV34" s="87" t="s">
        <v>605</v>
      </c>
      <c r="AW34" s="66" t="s">
        <v>613</v>
      </c>
      <c r="AX34" s="91" t="s">
        <v>614</v>
      </c>
      <c r="AY34" s="90" t="s">
        <v>615</v>
      </c>
      <c r="AZ34" s="91" t="s">
        <v>616</v>
      </c>
      <c r="BA34" s="90" t="s">
        <v>617</v>
      </c>
      <c r="BB34" s="91" t="s">
        <v>618</v>
      </c>
      <c r="BC34" s="91" t="s">
        <v>619</v>
      </c>
      <c r="BE34" s="2">
        <v>29</v>
      </c>
      <c r="BF34" s="87" t="s">
        <v>605</v>
      </c>
      <c r="BG34" s="68" t="s">
        <v>620</v>
      </c>
      <c r="BH34" s="69" t="s">
        <v>621</v>
      </c>
      <c r="BI34" s="68" t="s">
        <v>622</v>
      </c>
      <c r="BJ34" s="69" t="s">
        <v>623</v>
      </c>
      <c r="BK34" s="69" t="s">
        <v>624</v>
      </c>
      <c r="BL34" s="69" t="s">
        <v>625</v>
      </c>
      <c r="BM34" s="69" t="s">
        <v>626</v>
      </c>
      <c r="BU34" s="2" t="s">
        <v>627</v>
      </c>
    </row>
    <row r="35" spans="2:65" ht="12.75">
      <c r="B35" s="4"/>
      <c r="C35" t="s">
        <v>628</v>
      </c>
      <c r="D35" s="138"/>
      <c r="E35" s="73">
        <v>27</v>
      </c>
      <c r="F35" s="74" t="s">
        <v>629</v>
      </c>
      <c r="G35" s="177" t="str">
        <f>IF(ISBLANK(BG7),IF(MOD(A7,2),LOOKUP(E35,AK7:AM182),LOOKUP(E35,AU:AW)),IF(C27&gt;2,LOOKUP(E35,BE:BG),IF(C27=2,LOOKUP(E35,AU:AW),LOOKUP(E35,AK:AM))))</f>
        <v>Hebrews 1:1-12,</v>
      </c>
      <c r="H35" s="93" t="str">
        <f>IF(ISBLANK(BG7),IF(MOD(A7,2),LOOKUP(E35,AK7:AN182),LOOKUP(E35,AU:AX)),IF(C27&gt;2,LOOKUP(E35,BE:BH),IF(C27=2,LOOKUP(E35,AU:AX),LOOKUP(E35,AK:AN))))</f>
        <v>Ephesians 1:1-14,</v>
      </c>
      <c r="I35" s="178" t="str">
        <f>IF(ISBLANK(BG7),IF(MOD(A7,2),LOOKUP(E35,AK7:AO182),LOOKUP(E35,AU:AY)),IF(C27&gt;2,LOOKUP(E35,BE:BI),IF(C27=2,LOOKUP(E35,AU:AY),LOOKUP(E35,AK:AO))))</f>
        <v>Ephesians 1:15-23,</v>
      </c>
      <c r="J35" s="93" t="str">
        <f>IF(ISBLANK(BG7),IF(MOD(A7,2),LOOKUP(E35,AK7:AP182),LOOKUP(E35,AU:AZ)),IF(C27&gt;2,LOOKUP(E35,BE:BJ),IF(C27=2,LOOKUP(E35,AU:AZ),LOOKUP(E35,AK:AP))))</f>
        <v>Ephesians 2:1-10,</v>
      </c>
      <c r="K35" s="93" t="str">
        <f>IF(ISBLANK(BG7),IF(MOD(A7,2),LOOKUP(E35,AK7:AQ182),LOOKUP(E35,AU:BA)),IF(C27&gt;2,LOOKUP(E35,BE:BK),IF(C27=2,LOOKUP(E35,AU:BA),LOOKUP(E35,AK:AQ))))</f>
        <v>Ephesians 2:11-22,</v>
      </c>
      <c r="L35" s="93" t="str">
        <f>IF(ISBLANK(BG7),IF(MOD(A7,2),LOOKUP(E35,AK7:AR182),LOOKUP(E35,AU:BB)),IF(C27&gt;2,LOOKUP(E35,BE:BL),IF(C27=2,LOOKUP(E35,AU:BB),LOOKUP(E35,AK:AR))))</f>
        <v>Ephesians 3:1-13,</v>
      </c>
      <c r="M35" s="93" t="str">
        <f>IF(ISBLANK(BG7),IF(MOD(A7,2),LOOKUP(E35,AK7:AS182),LOOKUP(E35,AU:BC)),IF(C27&gt;2,LOOKUP(E35,BE:BM),IF(C27=2,LOOKUP(E35,AU:BC),LOOKUP(E35,AK:AS))))</f>
        <v>Ephesians 3:14-21,</v>
      </c>
      <c r="N35" s="77" t="s">
        <v>629</v>
      </c>
      <c r="O35" s="78"/>
      <c r="P35" s="2">
        <v>2031</v>
      </c>
      <c r="Q35" s="2">
        <v>413</v>
      </c>
      <c r="R35" s="59">
        <f>DATE(P35,4,13)</f>
        <v>47951</v>
      </c>
      <c r="S35" s="59">
        <f>DATE(A7,4,19)</f>
        <v>41383</v>
      </c>
      <c r="T35" s="59">
        <f>DATE(A7-1,4,19)</f>
        <v>41018</v>
      </c>
      <c r="U35" s="2">
        <v>419</v>
      </c>
      <c r="V35" s="2">
        <v>5</v>
      </c>
      <c r="W35" s="2">
        <v>215</v>
      </c>
      <c r="X35" s="59">
        <f>DATE(A7,2,15)</f>
        <v>41320</v>
      </c>
      <c r="Y35" s="2">
        <v>304</v>
      </c>
      <c r="Z35" s="12">
        <f>DATE(A7,3,4)</f>
        <v>41337</v>
      </c>
      <c r="AA35" s="2">
        <v>528</v>
      </c>
      <c r="AB35" s="59">
        <f>DATE(A7,5,28)</f>
        <v>41422</v>
      </c>
      <c r="AC35" s="2">
        <v>607</v>
      </c>
      <c r="AD35" s="59">
        <f>DATE(A7,6,7)</f>
        <v>41432</v>
      </c>
      <c r="AE35" s="2">
        <v>23</v>
      </c>
      <c r="AF35" s="2">
        <v>1129</v>
      </c>
      <c r="AG35" s="59">
        <f>DATE(A7,11,29)</f>
        <v>41607</v>
      </c>
      <c r="AH35" s="59">
        <f>DATE(A7-1,11,29)</f>
        <v>41242</v>
      </c>
      <c r="AI35" s="2" t="s">
        <v>630</v>
      </c>
      <c r="AK35" s="2">
        <v>30</v>
      </c>
      <c r="AL35" s="62" t="s">
        <v>631</v>
      </c>
      <c r="AM35" s="63" t="s">
        <v>632</v>
      </c>
      <c r="AN35" s="64" t="s">
        <v>437</v>
      </c>
      <c r="AO35" s="63" t="s">
        <v>438</v>
      </c>
      <c r="AP35" s="64" t="s">
        <v>633</v>
      </c>
      <c r="AQ35" s="64" t="s">
        <v>634</v>
      </c>
      <c r="AR35" s="64" t="s">
        <v>635</v>
      </c>
      <c r="AS35" s="64" t="s">
        <v>636</v>
      </c>
      <c r="AU35" s="2">
        <v>30</v>
      </c>
      <c r="AV35" s="62" t="s">
        <v>631</v>
      </c>
      <c r="AW35" s="66" t="s">
        <v>437</v>
      </c>
      <c r="AX35" s="67" t="s">
        <v>637</v>
      </c>
      <c r="AY35" s="66" t="s">
        <v>638</v>
      </c>
      <c r="AZ35" s="67" t="s">
        <v>639</v>
      </c>
      <c r="BA35" s="67" t="s">
        <v>640</v>
      </c>
      <c r="BB35" s="67" t="s">
        <v>641</v>
      </c>
      <c r="BC35" s="67" t="s">
        <v>642</v>
      </c>
      <c r="BE35" s="2">
        <v>30</v>
      </c>
      <c r="BF35" s="62" t="s">
        <v>631</v>
      </c>
      <c r="BG35" s="68" t="s">
        <v>643</v>
      </c>
      <c r="BH35" s="69" t="s">
        <v>644</v>
      </c>
      <c r="BI35" s="68" t="s">
        <v>645</v>
      </c>
      <c r="BJ35" s="69" t="s">
        <v>646</v>
      </c>
      <c r="BK35" s="69" t="s">
        <v>647</v>
      </c>
      <c r="BL35" s="69" t="s">
        <v>648</v>
      </c>
      <c r="BM35" s="69" t="s">
        <v>649</v>
      </c>
    </row>
    <row r="36" spans="2:65" ht="12.75">
      <c r="B36" s="4"/>
      <c r="C36" s="4" t="str">
        <f>IF(ISNUMBER(D40),IF(ISBLANK(BG7),IF(MOD(A7,2),LOOKUP(E40,AK:AM),LOOKUP(E40,AU:AW)),IF(C27&gt;2,LOOKUP(E40,BE:BG),IF(C27=2,LOOKUP(E40,AU:AW),LOOKUP(E40,AK:AM)))),AI36)</f>
        <v>Isaiah 47:1-15,</v>
      </c>
      <c r="D36" s="152"/>
      <c r="E36" s="165">
        <v>28</v>
      </c>
      <c r="F36" s="97"/>
      <c r="G36" s="179" t="str">
        <f>IF(ISBLANK(BG7),IF(MOD(A7,2),LOOKUP(E36,AK7:AM182),LOOKUP(E36,AU:AW)),IF(C27&gt;2,LOOKUP(E36,BE:BG),IF(C27=2,LOOKUP(E36,AU:AW),LOOKUP(E36,AK:AM))))</f>
        <v>John 1:1-7,19-20, 29-34</v>
      </c>
      <c r="H36" s="83" t="str">
        <f>IF(ISBLANK(BG7),IF(MOD(A7,2),LOOKUP(E36,AK7:AN182),LOOKUP(E36,AU:AX)),IF(C27&gt;2,LOOKUP(E36,BE:BH),IF(C27=2,LOOKUP(E36,AU:AX),LOOKUP(E36,AK:AN))))</f>
        <v>Mark 1:1-13</v>
      </c>
      <c r="I36" s="180" t="str">
        <f>IF(ISBLANK(BG7),IF(MOD(A7,2),LOOKUP(E36,AK7:AO182),LOOKUP(E36,AU:AY)),IF(C27&gt;2,LOOKUP(E36,BE:BI),IF(C27=2,LOOKUP(E36,AU:AY),LOOKUP(E36,AK:AO))))</f>
        <v>Mark 1:14-28</v>
      </c>
      <c r="J36" s="83" t="str">
        <f>IF(ISBLANK(BG7),IF(MOD(A7,2),LOOKUP(E36,AK7:AP182),LOOKUP(E36,AU:AZ)),IF(C27&gt;2,LOOKUP(E36,BE:BJ),IF(C27=2,LOOKUP(E36,AU:AZ),LOOKUP(E36,AK:AP))))</f>
        <v>Mark 1:29-45</v>
      </c>
      <c r="K36" s="83" t="str">
        <f>IF(ISBLANK(BG7),IF(MOD(A7,2),LOOKUP(E36,AK7:AQ182),LOOKUP(E36,AU:BA)),IF(C27&gt;2,LOOKUP(E36,BE:BK),IF(C27=2,LOOKUP(E36,AU:BA),LOOKUP(E36,AK:AQ))))</f>
        <v>Mark 2:1-12</v>
      </c>
      <c r="L36" s="83" t="str">
        <f>IF(ISBLANK(BG7),IF(MOD(A7,2),LOOKUP(E36,AK7:AR182),LOOKUP(E36,AU:BB)),IF(C27&gt;2,LOOKUP(E36,BE:BL),IF(C27=2,LOOKUP(E36,AU:BB),LOOKUP(E36,AK:AR))))</f>
        <v>Mark 2:13-22</v>
      </c>
      <c r="M36" s="83" t="str">
        <f>IF(ISBLANK(BG7),IF(MOD(A7,2),LOOKUP(E36,AK7:AS182),LOOKUP(E36,AU:BC)),IF(C27&gt;2,LOOKUP(E36,BE:BM),IF(C27=2,LOOKUP(E36,AU:BC),LOOKUP(E36,AK:AS))))</f>
        <v>Mark 2:23-3:6</v>
      </c>
      <c r="N36" s="98"/>
      <c r="O36" s="78"/>
      <c r="P36" s="2">
        <v>2032</v>
      </c>
      <c r="Q36" s="2">
        <v>328</v>
      </c>
      <c r="R36" s="59">
        <f>DATE(P36,3,28)</f>
        <v>48301</v>
      </c>
      <c r="S36" s="59">
        <f>DATE(A7,4,20)</f>
        <v>41384</v>
      </c>
      <c r="T36" s="59">
        <f>DATE(A7-1,4,20)</f>
        <v>41019</v>
      </c>
      <c r="U36" s="2">
        <v>420</v>
      </c>
      <c r="V36" s="2">
        <v>5</v>
      </c>
      <c r="W36" s="2">
        <v>216</v>
      </c>
      <c r="X36" s="59">
        <f>DATE(A7,2,16)</f>
        <v>41321</v>
      </c>
      <c r="Y36" s="2">
        <v>305</v>
      </c>
      <c r="Z36" s="12">
        <f>DATE(A7,3,5)</f>
        <v>41338</v>
      </c>
      <c r="AA36" s="2">
        <v>529</v>
      </c>
      <c r="AB36" s="59">
        <f>DATE(A7,5,29)</f>
        <v>41423</v>
      </c>
      <c r="AC36" s="2">
        <v>608</v>
      </c>
      <c r="AD36" s="59">
        <f>DATE(A7,6,8)</f>
        <v>41433</v>
      </c>
      <c r="AE36" s="2">
        <v>23</v>
      </c>
      <c r="AF36" s="2">
        <v>1130</v>
      </c>
      <c r="AG36" s="59">
        <f>DATE(A7,11,30)</f>
        <v>41608</v>
      </c>
      <c r="AH36" s="59">
        <f>DATE(A7-1,11,30)</f>
        <v>41243</v>
      </c>
      <c r="AI36" s="2" t="s">
        <v>650</v>
      </c>
      <c r="AK36" s="2">
        <v>31</v>
      </c>
      <c r="AL36" s="100" t="s">
        <v>651</v>
      </c>
      <c r="AM36" s="101" t="s">
        <v>652</v>
      </c>
      <c r="AN36" s="102" t="s">
        <v>653</v>
      </c>
      <c r="AO36" s="101" t="s">
        <v>654</v>
      </c>
      <c r="AP36" s="102" t="s">
        <v>655</v>
      </c>
      <c r="AQ36" s="101" t="s">
        <v>656</v>
      </c>
      <c r="AR36" s="102" t="s">
        <v>657</v>
      </c>
      <c r="AS36" s="102" t="s">
        <v>658</v>
      </c>
      <c r="AU36" s="2">
        <v>31</v>
      </c>
      <c r="AV36" s="100" t="s">
        <v>651</v>
      </c>
      <c r="AW36" s="66" t="s">
        <v>659</v>
      </c>
      <c r="AX36" s="104" t="s">
        <v>660</v>
      </c>
      <c r="AY36" s="103" t="s">
        <v>304</v>
      </c>
      <c r="AZ36" s="104" t="s">
        <v>661</v>
      </c>
      <c r="BA36" s="103" t="s">
        <v>662</v>
      </c>
      <c r="BB36" s="104" t="s">
        <v>663</v>
      </c>
      <c r="BC36" s="104" t="s">
        <v>652</v>
      </c>
      <c r="BE36" s="2">
        <v>31</v>
      </c>
      <c r="BF36" s="100" t="s">
        <v>651</v>
      </c>
      <c r="BG36" s="68" t="s">
        <v>664</v>
      </c>
      <c r="BH36" s="69" t="s">
        <v>665</v>
      </c>
      <c r="BI36" s="68" t="s">
        <v>666</v>
      </c>
      <c r="BJ36" s="69" t="s">
        <v>667</v>
      </c>
      <c r="BK36" s="69" t="s">
        <v>668</v>
      </c>
      <c r="BL36" s="69" t="s">
        <v>669</v>
      </c>
      <c r="BM36" s="69" t="s">
        <v>670</v>
      </c>
    </row>
    <row r="37" spans="3:79" s="181" customFormat="1" ht="12.75">
      <c r="C37" s="181" t="str">
        <f>IF(ISBLANK(B10),BS40,G37)</f>
        <v>Isaiah 47:1-15,</v>
      </c>
      <c r="D37" s="138">
        <f>IF(ISTEXT(B10),IF(AI62&gt;1,D7+49),D34+7)</f>
        <v>41294</v>
      </c>
      <c r="E37" s="73">
        <v>29</v>
      </c>
      <c r="F37" s="50" t="str">
        <f>IF(ISTEXT(B10),"2 Epiphany (variable)","2 Epiphany")</f>
        <v>2 Epiphany</v>
      </c>
      <c r="G37" s="106" t="str">
        <f>IF(ISNUMBER(D37),IF(ISBLANK(BG7),IF(MOD(A7,2),LOOKUP(E37,AK:AM),LOOKUP(E37,AU:AW)),IF(C27&gt;2,LOOKUP(E37,BE:BG),IF(C27=2,LOOKUP(E37,AU:AW),LOOKUP(E37,AK:AM)))),AI36)</f>
        <v>Isaiah 43:14-44:5,</v>
      </c>
      <c r="H37" s="51" t="str">
        <f>IF(ISNUMBER(D37),IF(ISBLANK(BG7),IF(MOD(A7,2),LOOKUP(E37,AK:AN),LOOKUP(E37,AU:AX)),IF(C27&gt;2,LOOKUP(E37,BE:BH),IF(C27=2,LOOKUP(E37,AU:AX),LOOKUP(E37,AK:AN)))),AI36)</f>
        <v>Isaiah 44:6-8, 21-23,</v>
      </c>
      <c r="I37" s="52" t="str">
        <f>IF(ISNUMBER(D37),IF(ISBLANK(BG7),IF(MOD(A7,2),LOOKUP(E37,AK:AO),LOOKUP(E37,AU:AY)),IF(C27&gt;2,LOOKUP(E37,BE:BI),IF(C27=2,LOOKUP(E37,AU:AY),LOOKUP(E37,AK:AO)))),AI36)</f>
        <v>Isaiah 44:9-20,</v>
      </c>
      <c r="J37" s="52" t="str">
        <f>IF(ISNUMBER(D37),IF(ISBLANK(BG7),IF(MOD(A7,2),LOOKUP(E37,AK:AP),LOOKUP(E37,AU:AZ)),IF(C27&gt;2,LOOKUP(E37,BE:BJ),IF(C27=2,LOOKUP(E37,AU:AZ),LOOKUP(E37,AK:AP)))),AI36)</f>
        <v>Isaiah 44:24-45:7,</v>
      </c>
      <c r="K37" s="52" t="str">
        <f>IF(ISNUMBER(D37),IF(ISBLANK(BG7),IF(MOD(A7,2),LOOKUP(E37,AK:AQ),LOOKUP(E37,AU:BA)),IF(C27&gt;2,LOOKUP(E37,BE:BK),IF(C27=2,LOOKUP(E37,AU:BA),LOOKUP(E37,AK:AQ)))),AI36)</f>
        <v>Isaiah 45:5-17,</v>
      </c>
      <c r="L37" s="52" t="str">
        <f>IF(ISNUMBER(D37),IF(ISBLANK(BG7),IF(MOD(A7,2),LOOKUP(E37,AK:AR),LOOKUP(E37,AU:BB)),IF(C27&gt;2,LOOKUP(E37,BE:BL),IF(C27=2,LOOKUP(E37,AU:BB),LOOKUP(E37,AK:AR)))),AI36)</f>
        <v>Isaiah 45:18-25,</v>
      </c>
      <c r="M37" s="52" t="str">
        <f>IF(ISNUMBER(D37),IF(ISBLANK(BG7),IF(MOD(A7,2),LOOKUP(E37,AK:AS),LOOKUP(E37,AU:BC)),IF(C27&gt;2,LOOKUP(E37,BE:BM),IF(C27=2,LOOKUP(E37,AU:BC),LOOKUP(E37,AK:AS)))),AI36)</f>
        <v>Isaiah 46:1-13,</v>
      </c>
      <c r="N37" s="55" t="str">
        <f>F37</f>
        <v>2 Epiphany</v>
      </c>
      <c r="O37" s="56">
        <f>D37</f>
        <v>41294</v>
      </c>
      <c r="P37" s="174">
        <v>2033</v>
      </c>
      <c r="Q37" s="174">
        <v>417</v>
      </c>
      <c r="R37" s="12">
        <f>DATE(P37,4,17)</f>
        <v>48686</v>
      </c>
      <c r="S37" s="12">
        <f>DATE(A7,4,21)</f>
        <v>41385</v>
      </c>
      <c r="T37" s="12">
        <f>DATE(A7-1,4,21)</f>
        <v>41020</v>
      </c>
      <c r="U37" s="174">
        <v>421</v>
      </c>
      <c r="V37" s="174">
        <v>5</v>
      </c>
      <c r="W37" s="174">
        <v>217</v>
      </c>
      <c r="X37" s="12">
        <f>DATE(A7,2,17)</f>
        <v>41322</v>
      </c>
      <c r="Y37" s="174">
        <v>306</v>
      </c>
      <c r="Z37" s="12">
        <f>DATE(A7,3,6)</f>
        <v>41339</v>
      </c>
      <c r="AA37" s="174">
        <v>530</v>
      </c>
      <c r="AB37" s="12">
        <f>DATE(A7,5,30)</f>
        <v>41424</v>
      </c>
      <c r="AC37" s="174">
        <v>609</v>
      </c>
      <c r="AD37" s="12">
        <f>DATE(A7,6,9)</f>
        <v>41434</v>
      </c>
      <c r="AE37" s="174">
        <v>23</v>
      </c>
      <c r="AF37" s="174">
        <v>1201</v>
      </c>
      <c r="AG37" s="12">
        <f>DATE(A7,12,1)</f>
        <v>41609</v>
      </c>
      <c r="AH37" s="12">
        <f>DATE(A7-1,12,1)</f>
        <v>41244</v>
      </c>
      <c r="AI37" s="182" t="str">
        <f>IF(MOD(A7,2),LOOKUP(E37,AK7:AN182),LOOKUP(E37,AU:AW))</f>
        <v>Isaiah 44:6-8, 21-23,</v>
      </c>
      <c r="AJ37" s="174"/>
      <c r="AK37" s="174">
        <v>32</v>
      </c>
      <c r="AL37" s="183" t="s">
        <v>671</v>
      </c>
      <c r="AM37" s="63" t="s">
        <v>672</v>
      </c>
      <c r="AN37" s="64" t="s">
        <v>673</v>
      </c>
      <c r="AO37" s="63" t="s">
        <v>674</v>
      </c>
      <c r="AP37" s="64" t="s">
        <v>675</v>
      </c>
      <c r="AQ37" s="64" t="s">
        <v>676</v>
      </c>
      <c r="AR37" s="64" t="s">
        <v>677</v>
      </c>
      <c r="AS37" s="64" t="s">
        <v>678</v>
      </c>
      <c r="AT37" s="174"/>
      <c r="AU37" s="174">
        <v>32</v>
      </c>
      <c r="AV37" s="183" t="s">
        <v>671</v>
      </c>
      <c r="AW37" s="91" t="s">
        <v>679</v>
      </c>
      <c r="AX37" s="67" t="s">
        <v>680</v>
      </c>
      <c r="AY37" s="66" t="s">
        <v>681</v>
      </c>
      <c r="AZ37" s="67" t="s">
        <v>682</v>
      </c>
      <c r="BA37" s="67" t="s">
        <v>683</v>
      </c>
      <c r="BB37" s="184" t="s">
        <v>684</v>
      </c>
      <c r="BC37" s="91" t="s">
        <v>685</v>
      </c>
      <c r="BD37" s="174"/>
      <c r="BE37" s="174">
        <v>32</v>
      </c>
      <c r="BF37" s="183" t="s">
        <v>671</v>
      </c>
      <c r="BG37" s="68" t="s">
        <v>686</v>
      </c>
      <c r="BH37" s="69" t="s">
        <v>687</v>
      </c>
      <c r="BI37" s="68" t="s">
        <v>688</v>
      </c>
      <c r="BJ37" s="69" t="s">
        <v>689</v>
      </c>
      <c r="BK37" s="69" t="s">
        <v>690</v>
      </c>
      <c r="BL37" s="69" t="s">
        <v>691</v>
      </c>
      <c r="BM37" s="69" t="s">
        <v>692</v>
      </c>
      <c r="BN37" s="174"/>
      <c r="BO37" s="174"/>
      <c r="BP37" s="185">
        <f>D37</f>
        <v>41294</v>
      </c>
      <c r="BQ37" s="186">
        <v>29</v>
      </c>
      <c r="BR37" s="187" t="s">
        <v>693</v>
      </c>
      <c r="BS37" s="188" t="str">
        <f>IF(ISBLANK(BG7),IF(MOD(A7,2),LOOKUP(E37,AK7:AM182),LOOKUP(E37,AU:AW)),IF(C27&gt;2,LOOKUP(E37,BE:BG),IF(C27=2,LOOKUP(E37,AU:AW),LOOKUP(E37,AK:AM))))</f>
        <v>Isaiah 43:14-44:5,</v>
      </c>
      <c r="BT37" s="189" t="str">
        <f>IF(ISBLANK(BG7),IF(MOD(A7,2),LOOKUP(E37,AK7:AN182),LOOKUP(E37,AU:AX)),IF(C27&gt;2,LOOKUP(E37,BE:BH),IF(C27=2,LOOKUP(E37,AU:AX),LOOKUP(E37,AK:AN))))</f>
        <v>Isaiah 44:6-8, 21-23,</v>
      </c>
      <c r="BU37" s="190" t="str">
        <f>IF(ISBLANK(BG7),IF(MOD(A7,2),LOOKUP(E37,AK7:AO182),LOOKUP(E37,AU:AY)),IF(C27&gt;2,LOOKUP(E37,BE:BI),IF(C27=2,LOOKUP(E37,AU:AY),LOOKUP(E37,AK:AO))))</f>
        <v>Isaiah 44:9-20,</v>
      </c>
      <c r="BV37" s="190" t="str">
        <f>IF(ISBLANK(BG7),IF(MOD(A7,2),LOOKUP(E37,AK7:AP182),LOOKUP(E37,AU:AZ)),IF(C27&gt;2,LOOKUP(E37,BE:BJ),IF(C27=2,LOOKUP(E37,AU:AZ),LOOKUP(E37,AK:AP))))</f>
        <v>Isaiah 44:24-45:7,</v>
      </c>
      <c r="BW37" s="190" t="str">
        <f>IF(ISBLANK(BG7),IF(MOD(A7,2),LOOKUP(E37,AK7:AQ182),LOOKUP(E37,AU:BA)),IF(C27&gt;2,LOOKUP(E37,BE:BK),IF(C27=2,LOOKUP(E37,AU:BA),LOOKUP(E37,AK:AQ))))</f>
        <v>Isaiah 45:5-17,</v>
      </c>
      <c r="BX37" s="190" t="str">
        <f>IF(ISBLANK(BG7),IF(MOD(A7,2),LOOKUP(E37,AK7:AR182),LOOKUP(E37,AU:BB)),IF(C27&gt;2,LOOKUP(E37,BE:BL),IF(C27=2,LOOKUP(E37,AU:BB),LOOKUP(E37,AK:AR))))</f>
        <v>Isaiah 45:18-25,</v>
      </c>
      <c r="BY37" s="190" t="str">
        <f>IF(ISBLANK(BG7),IF(MOD(A7,2),LOOKUP(E37,AK7:AS182),LOOKUP(E37,AU:BC)),IF(C27&gt;2,LOOKUP(E37,BE:BM),IF(C27=2,LOOKUP(E37,AU:BC),LOOKUP(E37,AK:AS))))</f>
        <v>Isaiah 46:1-13,</v>
      </c>
      <c r="BZ37" s="187" t="s">
        <v>693</v>
      </c>
      <c r="CA37" s="191">
        <f>BP37</f>
        <v>41294</v>
      </c>
    </row>
    <row r="38" spans="4:79" ht="12.75">
      <c r="D38" s="72"/>
      <c r="E38" s="73">
        <v>30</v>
      </c>
      <c r="F38" s="74"/>
      <c r="G38" s="110" t="str">
        <f>IF(ISNUMBER(D37),IF(ISBLANK(BG7),IF(MOD(A7,2),LOOKUP(E38,AK:AM),LOOKUP(E38,AU:AW)),IF(C27&gt;2,LOOKUP(E38,BE:BG),IF(C27=2,LOOKUP(E38,AU:AW),LOOKUP(E38,AK:AM)))),AI36)</f>
        <v>Hebrews 6:17-7:10,</v>
      </c>
      <c r="H38" s="75" t="str">
        <f>IF(ISNUMBER(D37),IF(ISBLANK(BG7),IF(MOD(A7,2),LOOKUP(E38,AK:AN),LOOKUP(E38,AU:AX)),IF(C27&gt;2,LOOKUP(E38,BE:BH),IF(C27=2,LOOKUP(E38,AU:AX),LOOKUP(E38,AK:AN)))),AI36)</f>
        <v>Ephesians 4:1-16,</v>
      </c>
      <c r="I38" s="93" t="str">
        <f>IF(ISNUMBER(D37),IF(ISBLANK(BG7),IF(MOD(A7,2),LOOKUP(E38,AK:AO),LOOKUP(E38,AU:AY)),IF(C27&gt;2,LOOKUP(E38,BE:BI),IF(C27=2,LOOKUP(E38,AU:AY),LOOKUP(E38,AK:AO)))),AI36)</f>
        <v>Ephesians 4:17-32,</v>
      </c>
      <c r="J38" s="93" t="str">
        <f>IF(ISNUMBER(D37),IF(ISBLANK(BG7),IF(MOD(A7,2),LOOKUP(E38,AK:AP),LOOKUP(E38,AU:AZ)),IF(C27&gt;2,LOOKUP(E38,BE:BJ),IF(C27=2,LOOKUP(E38,AU:AZ),LOOKUP(E38,AK:AP)))),AI36)</f>
        <v>Ephesians 5:1-14,</v>
      </c>
      <c r="K38" s="93" t="str">
        <f>IF(ISNUMBER(D37),IF(ISBLANK(BG7),IF(MOD(A7,2),LOOKUP(E38,AK:AQ),LOOKUP(E38,AU:BA)),IF(C27&gt;2,LOOKUP(E38,BE:BK),IF(C27=2,LOOKUP(E38,AU:BA),LOOKUP(E38,AK:AQ)))),AI36)</f>
        <v>Ephesians 5:15-33,</v>
      </c>
      <c r="L38" s="93" t="str">
        <f>IF(ISNUMBER(D37),IF(ISBLANK(BG7),IF(MOD(A7,2),LOOKUP(E38,AK:AR),LOOKUP(E38,AU:BB)),IF(C27&gt;2,LOOKUP(E38,BE:BL),IF(C27=2,LOOKUP(E38,AU:BB),LOOKUP(E38,AK:AR)))),AI36)</f>
        <v>Ephesians6:1-9,</v>
      </c>
      <c r="M38" s="93" t="str">
        <f>IF(ISNUMBER(D37),IF(ISBLANK(BG7),IF(MOD(A7,2),LOOKUP(E38,AK:AS),LOOKUP(E38,AU:BC)),IF(C27&gt;2,LOOKUP(E38,BE:BM),IF(C27=2,LOOKUP(E38,AU:BC),LOOKUP(E38,AK:AS)))),AI36)</f>
        <v>Ephesians 6:10-24,</v>
      </c>
      <c r="N38" s="77"/>
      <c r="O38" s="78"/>
      <c r="P38" s="2">
        <v>2034</v>
      </c>
      <c r="Q38" s="2">
        <v>409</v>
      </c>
      <c r="R38" s="59">
        <f>DATE(P38,4,9)</f>
        <v>49043</v>
      </c>
      <c r="S38" s="59">
        <f>DATE(A7,4,22)</f>
        <v>41386</v>
      </c>
      <c r="T38" s="59">
        <f>DATE(A7-1,4,22)</f>
        <v>41021</v>
      </c>
      <c r="U38" s="2">
        <v>422</v>
      </c>
      <c r="V38" s="2">
        <v>6</v>
      </c>
      <c r="W38" s="2">
        <v>218</v>
      </c>
      <c r="X38" s="59">
        <f>DATE(A7,2,18)</f>
        <v>41323</v>
      </c>
      <c r="Y38" s="2">
        <v>307</v>
      </c>
      <c r="Z38" s="12">
        <f>DATE(A7,3,7)</f>
        <v>41340</v>
      </c>
      <c r="AA38" s="2">
        <v>531</v>
      </c>
      <c r="AB38" s="59">
        <f>DATE(A7,5,31)</f>
        <v>41425</v>
      </c>
      <c r="AC38" s="2">
        <v>610</v>
      </c>
      <c r="AD38" s="59">
        <f>DATE(A7,6,10)</f>
        <v>41435</v>
      </c>
      <c r="AE38" s="2">
        <v>23</v>
      </c>
      <c r="AF38" s="2">
        <v>1202</v>
      </c>
      <c r="AG38" s="59">
        <f>DATE(A7,12,2)</f>
        <v>41610</v>
      </c>
      <c r="AH38" s="59">
        <f>DATE(A7-1,12,2)</f>
        <v>41245</v>
      </c>
      <c r="AI38" s="192" t="str">
        <f>IF(MOD(A7,2),LOOKUP(E38,AK7:AN182),LOOKUP(E38,AU:AW))</f>
        <v>Ephesians 4:1-16,</v>
      </c>
      <c r="AK38" s="2">
        <v>33</v>
      </c>
      <c r="AL38" s="62" t="s">
        <v>694</v>
      </c>
      <c r="AM38" s="63" t="s">
        <v>695</v>
      </c>
      <c r="AN38" s="64" t="s">
        <v>696</v>
      </c>
      <c r="AO38" s="63" t="s">
        <v>697</v>
      </c>
      <c r="AP38" s="64" t="s">
        <v>698</v>
      </c>
      <c r="AQ38" s="64" t="s">
        <v>286</v>
      </c>
      <c r="AR38" s="64" t="s">
        <v>287</v>
      </c>
      <c r="AS38" s="64" t="s">
        <v>699</v>
      </c>
      <c r="AU38" s="2">
        <v>33</v>
      </c>
      <c r="AV38" s="62" t="s">
        <v>694</v>
      </c>
      <c r="AW38" s="67" t="s">
        <v>700</v>
      </c>
      <c r="AX38" s="67" t="s">
        <v>701</v>
      </c>
      <c r="AY38" s="66" t="s">
        <v>702</v>
      </c>
      <c r="AZ38" s="67" t="s">
        <v>703</v>
      </c>
      <c r="BA38" s="67" t="s">
        <v>704</v>
      </c>
      <c r="BB38" s="184" t="s">
        <v>705</v>
      </c>
      <c r="BC38" s="67" t="s">
        <v>706</v>
      </c>
      <c r="BE38" s="2">
        <v>33</v>
      </c>
      <c r="BF38" s="62" t="s">
        <v>694</v>
      </c>
      <c r="BG38" s="68" t="s">
        <v>707</v>
      </c>
      <c r="BH38" s="69" t="s">
        <v>708</v>
      </c>
      <c r="BI38" s="68" t="s">
        <v>709</v>
      </c>
      <c r="BJ38" s="69" t="s">
        <v>710</v>
      </c>
      <c r="BK38" s="69" t="s">
        <v>711</v>
      </c>
      <c r="BL38" s="69" t="s">
        <v>712</v>
      </c>
      <c r="BM38" s="69" t="s">
        <v>713</v>
      </c>
      <c r="BP38" s="193"/>
      <c r="BQ38" s="186">
        <v>30</v>
      </c>
      <c r="BR38" s="194"/>
      <c r="BS38" s="195" t="str">
        <f>IF(ISBLANK(BG7),IF(MOD(A7,2),LOOKUP(E38,AK7:AM182),LOOKUP(E38,AU:AW)),IF(C27&gt;2,LOOKUP(E38,BE:BG),IF(C27=2,LOOKUP(E38,AU:AW),LOOKUP(E38,AK:AM))))</f>
        <v>Hebrews 6:17-7:10,</v>
      </c>
      <c r="BT38" s="196" t="str">
        <f>IF(ISBLANK(BG7),IF(MOD(A7,2),LOOKUP(E38,AK7:AN182),LOOKUP(E38,AU:AX)),IF(C27&gt;2,LOOKUP(E38,BE:BH),IF(C27=2,LOOKUP(E38,AU:AX),LOOKUP(E38,AK:AN))))</f>
        <v>Ephesians 4:1-16,</v>
      </c>
      <c r="BU38" s="197" t="str">
        <f>IF(ISBLANK(BG7),IF(MOD(A7,2),LOOKUP(E38,AK7:AO182),LOOKUP(E38,AU:AY)),IF(C27&gt;2,LOOKUP(E38,BE:BI),IF(C27=2,LOOKUP(E38,AU:AY),LOOKUP(E38,AK:AO))))</f>
        <v>Ephesians 4:17-32,</v>
      </c>
      <c r="BV38" s="197" t="str">
        <f>IF(ISBLANK(BG7),IF(MOD(A7,2),LOOKUP(E38,AK7:AP182),LOOKUP(E38,AU:AZ)),IF(C27&gt;2,LOOKUP(E38,BE:BJ),IF(C27=2,LOOKUP(E38,AU:AZ),LOOKUP(E38,AK:AP))))</f>
        <v>Ephesians 5:1-14,</v>
      </c>
      <c r="BW38" s="197" t="str">
        <f>IF(ISBLANK(BG7),IF(MOD(A7,2),LOOKUP(E38,AK7:AQ182),LOOKUP(E38,AU:BA)),IF(C27&gt;2,LOOKUP(E38,BE:BK),IF(C27=2,LOOKUP(E38,AU:BA),LOOKUP(E38,AK:AQ))))</f>
        <v>Ephesians 5:15-33,</v>
      </c>
      <c r="BX38" s="197" t="str">
        <f>IF(ISBLANK(BG7),IF(MOD(A7,2),LOOKUP(E38,AK7:AR182),LOOKUP(E38,AU:BB)),IF(C27&gt;2,LOOKUP(E38,BE:BL),IF(C27=2,LOOKUP(E38,AU:BB),LOOKUP(E38,AK:AR))))</f>
        <v>Ephesians6:1-9,</v>
      </c>
      <c r="BY38" s="197" t="str">
        <f>IF(ISBLANK(BG7),IF(MOD(A7,2),LOOKUP(E38,AK7:AS182),LOOKUP(E38,AU:BC)),IF(C27&gt;2,LOOKUP(E38,BE:BM),IF(C27=2,LOOKUP(E38,AU:BC),LOOKUP(E38,AK:AS))))</f>
        <v>Ephesians 6:10-24,</v>
      </c>
      <c r="BZ38" s="194"/>
      <c r="CA38" s="198"/>
    </row>
    <row r="39" spans="3:79" ht="12.75">
      <c r="C39" t="str">
        <f>IF(MOD(A7,100),"LEAP YEAR","NOT LEAP YEAR")</f>
        <v>LEAP YEAR</v>
      </c>
      <c r="D39" s="81"/>
      <c r="E39" s="96">
        <v>31</v>
      </c>
      <c r="F39" s="97"/>
      <c r="G39" s="112" t="str">
        <f>IF(ISNUMBER(D37),IF(ISBLANK(BG7),IF(MOD(A7,2),LOOKUP(E39,AK:AM),LOOKUP(E39,AU:AW)),IF(C27&gt;2,LOOKUP(E39,BE:BG),IF(C27=2,LOOKUP(E39,AU:AW),LOOKUP(E39,AK:AM)))),AI36)</f>
        <v>John 4:27-42</v>
      </c>
      <c r="H39" s="199" t="str">
        <f>IF(ISNUMBER(D37),IF(ISBLANK(BG7),IF(MOD(A7,2),LOOKUP(E39,AK:AN),LOOKUP(E39,AU:AX)),IF(C27&gt;2,LOOKUP(E39,BE:BH),IF(C27=2,LOOKUP(E39,AU:AX),LOOKUP(E39,AK:AN)))),AI36)</f>
        <v>Mark 3:7-19a</v>
      </c>
      <c r="I39" s="83" t="str">
        <f>IF(ISNUMBER(D37),IF(ISBLANK(BG7),IF(MOD(A7,2),LOOKUP(E39,AK:AO),LOOKUP(E39,AU:AY)),IF(C27&gt;2,LOOKUP(E39,BE:BI),IF(C27=2,LOOKUP(E39,AU:AY),LOOKUP(E39,AK:AO)))),AI36)</f>
        <v>Mark 3:19b-35</v>
      </c>
      <c r="J39" s="83" t="str">
        <f>IF(ISNUMBER(D37),IF(ISBLANK(BG7),IF(MOD(A7,2),LOOKUP(E39,AK:AP),LOOKUP(E39,AU:AZ)),IF(C27&gt;2,LOOKUP(E39,BE:BJ),IF(C27=2,LOOKUP(E39,AU:AZ),LOOKUP(E39,AK:AP)))),AI36)</f>
        <v>Mark 4:1-20</v>
      </c>
      <c r="K39" s="83" t="str">
        <f>IF(ISNUMBER(D37),IF(ISBLANK(BG7),IF(MOD(A7,2),LOOKUP(E39,AK:AQ),LOOKUP(E39,AU:BA)),IF(C27&gt;2,LOOKUP(E39,BE:BK),IF(C27=2,LOOKUP(E39,AU:BA),LOOKUP(E39,AK:AQ)))),AI36)</f>
        <v>Mark 4:21-34</v>
      </c>
      <c r="L39" s="83" t="str">
        <f>IF(ISNUMBER(D37),IF(ISBLANK(BG7),IF(MOD(A7,2),LOOKUP(E39,AK:AR),LOOKUP(E39,AU:BB)),IF(C27&gt;2,LOOKUP(E39,BE:BL),IF(C27=2,LOOKUP(E39,AU:BB),LOOKUP(E39,AK:AR)))),AI36)</f>
        <v>Mark 4:35-41</v>
      </c>
      <c r="M39" s="83" t="str">
        <f>IF(ISNUMBER(D37),IF(ISBLANK(BG7),IF(MOD(A7,2),LOOKUP(E39,AK:AS),LOOKUP(E39,AU:BC)),IF(C27&gt;2,LOOKUP(E39,BE:BM),IF(C27=2,LOOKUP(E39,AU:BC),LOOKUP(E39,AK:AS)))),AI36)</f>
        <v>Mark 5:1-20</v>
      </c>
      <c r="N39" s="98"/>
      <c r="O39" s="99"/>
      <c r="P39" s="2">
        <v>2035</v>
      </c>
      <c r="Q39" s="2">
        <v>325</v>
      </c>
      <c r="R39" s="59">
        <f>DATE(P39,3,25)</f>
        <v>49393</v>
      </c>
      <c r="S39" s="59">
        <f>DATE(A7,4,23)</f>
        <v>41387</v>
      </c>
      <c r="T39" s="59">
        <f>DATE(A7-1,4,23)</f>
        <v>41022</v>
      </c>
      <c r="U39" s="2">
        <v>423</v>
      </c>
      <c r="V39" s="2">
        <v>6</v>
      </c>
      <c r="W39" s="2">
        <v>219</v>
      </c>
      <c r="X39" s="59">
        <f>DATE(A7,2,19)</f>
        <v>41324</v>
      </c>
      <c r="Y39" s="2">
        <v>308</v>
      </c>
      <c r="Z39" s="12">
        <f>DATE(A7,3,8)</f>
        <v>41341</v>
      </c>
      <c r="AA39" s="2">
        <v>601</v>
      </c>
      <c r="AB39" s="59">
        <f>DATE(A7,6,1)</f>
        <v>41426</v>
      </c>
      <c r="AC39" s="2">
        <v>611</v>
      </c>
      <c r="AD39" s="59">
        <f>DATE(A7,6,11)</f>
        <v>41436</v>
      </c>
      <c r="AE39" s="2">
        <v>23</v>
      </c>
      <c r="AF39" s="2">
        <v>1203</v>
      </c>
      <c r="AG39" s="59">
        <f>DATE(A7,12,3)</f>
        <v>41611</v>
      </c>
      <c r="AH39" s="59">
        <f>DATE(A7-1,12,3)</f>
        <v>41246</v>
      </c>
      <c r="AI39" s="200" t="str">
        <f>IF(MOD(A7,2),LOOKUP(E39,AK7:AN182),LOOKUP(E39,AU:AW))</f>
        <v>Mark 3:7-19a</v>
      </c>
      <c r="AK39" s="2">
        <v>34</v>
      </c>
      <c r="AL39" s="62" t="s">
        <v>714</v>
      </c>
      <c r="AM39" s="63" t="s">
        <v>715</v>
      </c>
      <c r="AN39" s="64" t="s">
        <v>716</v>
      </c>
      <c r="AO39" s="63" t="s">
        <v>717</v>
      </c>
      <c r="AP39" s="64" t="s">
        <v>718</v>
      </c>
      <c r="AQ39" s="64" t="s">
        <v>719</v>
      </c>
      <c r="AR39" s="64" t="s">
        <v>720</v>
      </c>
      <c r="AS39" s="64" t="s">
        <v>721</v>
      </c>
      <c r="AU39" s="2">
        <v>34</v>
      </c>
      <c r="AV39" s="62" t="s">
        <v>714</v>
      </c>
      <c r="AW39" s="104" t="s">
        <v>722</v>
      </c>
      <c r="AX39" s="67" t="s">
        <v>723</v>
      </c>
      <c r="AY39" s="66" t="s">
        <v>724</v>
      </c>
      <c r="AZ39" s="67" t="s">
        <v>725</v>
      </c>
      <c r="BA39" s="67" t="s">
        <v>298</v>
      </c>
      <c r="BB39" s="184" t="s">
        <v>726</v>
      </c>
      <c r="BC39" s="67" t="s">
        <v>727</v>
      </c>
      <c r="BE39" s="2">
        <v>34</v>
      </c>
      <c r="BF39" s="62" t="s">
        <v>714</v>
      </c>
      <c r="BG39" s="68" t="s">
        <v>728</v>
      </c>
      <c r="BH39" s="69" t="s">
        <v>729</v>
      </c>
      <c r="BI39" s="68" t="s">
        <v>730</v>
      </c>
      <c r="BJ39" s="69" t="s">
        <v>731</v>
      </c>
      <c r="BK39" s="69" t="s">
        <v>732</v>
      </c>
      <c r="BL39" s="69" t="s">
        <v>733</v>
      </c>
      <c r="BM39" s="69" t="s">
        <v>734</v>
      </c>
      <c r="BP39" s="201"/>
      <c r="BQ39" s="202">
        <v>31</v>
      </c>
      <c r="BR39" s="203"/>
      <c r="BS39" s="204" t="str">
        <f>IF(ISBLANK(BG7),IF(MOD(A7,2),LOOKUP(E39,AK7:AM182),LOOKUP(E39,AU:AW)),IF(C27&gt;2,LOOKUP(E39,BE:BG),IF(C27=2,LOOKUP(E39,AU:AW),LOOKUP(E39,AK:AM))))</f>
        <v>John 4:27-42</v>
      </c>
      <c r="BT39" s="205" t="str">
        <f>IF(ISBLANK(BG7),IF(MOD(A7,2),LOOKUP(E39,AK7:AN182),LOOKUP(E39,AU:AX)),IF(C27&gt;2,LOOKUP(E39,BE:BH),IF(C27=2,LOOKUP(E39,AU:AX),LOOKUP(E39,AK:AN))))</f>
        <v>Mark 3:7-19a</v>
      </c>
      <c r="BU39" s="206" t="str">
        <f>IF(ISBLANK(BG7),IF(MOD(A7,2),LOOKUP(E39,AK7:AO182),LOOKUP(E39,AU:AY)),IF(C27&gt;2,LOOKUP(E39,BE:BI),IF(C27=2,LOOKUP(E39,AU:AY),LOOKUP(E39,AK:AO))))</f>
        <v>Mark 3:19b-35</v>
      </c>
      <c r="BV39" s="206" t="str">
        <f>IF(ISBLANK(BG7),IF(MOD(A7,2),LOOKUP(E39,AK7:AP182),LOOKUP(E39,AU:AZ)),IF(C27&gt;2,LOOKUP(E39,BE:BJ),IF(C27=2,LOOKUP(E39,AU:AZ),LOOKUP(E39,AK:AP))))</f>
        <v>Mark 4:1-20</v>
      </c>
      <c r="BW39" s="206" t="str">
        <f>IF(ISBLANK(BG7),IF(MOD(A7,2),LOOKUP(E39,AK7:AQ182),LOOKUP(E39,AU:BA)),IF(C27&gt;2,LOOKUP(E39,BE:BK),IF(C27=2,LOOKUP(E39,AU:BA),LOOKUP(E39,AK:AQ))))</f>
        <v>Mark 4:21-34</v>
      </c>
      <c r="BX39" s="206" t="str">
        <f>IF(ISBLANK(BG7),IF(MOD(A7,2),LOOKUP(E39,AK7:AR182),LOOKUP(E39,AU:BB)),IF(C27&gt;2,LOOKUP(E39,BE:BL),IF(C27=2,LOOKUP(E39,AU:BB),LOOKUP(E39,AK:AR))))</f>
        <v>Mark 4:35-41</v>
      </c>
      <c r="BY39" s="206" t="str">
        <f>IF(ISBLANK(BG7),IF(MOD(A7,2),LOOKUP(E39,AK7:AS182),LOOKUP(E39,AU:BC)),IF(C27&gt;2,LOOKUP(E39,BE:BM),IF(C27=2,LOOKUP(E39,AU:BC),LOOKUP(E39,AK:AS))))</f>
        <v>Mark 5:1-20</v>
      </c>
      <c r="BZ39" s="203"/>
      <c r="CA39" s="207"/>
    </row>
    <row r="40" spans="2:79" ht="12.75">
      <c r="B40" s="4"/>
      <c r="C40" t="str">
        <f>IF(MOD(A7,100),C41,"NOT LEAP YEAR")</f>
        <v>NOT LEAP YEAR</v>
      </c>
      <c r="D40" s="138">
        <f>IF(ISTEXT(B10),IF(AI62&gt;3,D7+56),IF(AI62&gt;1,D7+63,"OMIT"))</f>
        <v>41308</v>
      </c>
      <c r="E40" s="49">
        <v>32</v>
      </c>
      <c r="F40" s="50" t="str">
        <f>IF(ISTEXT(B10),"3 Epiphany (variable)","3 Epiphany")</f>
        <v>3 Epiphany</v>
      </c>
      <c r="G40" s="51" t="str">
        <f>IF(ISNUMBER(D40),IF(ISBLANK(BG7),IF(MOD(A7,2),LOOKUP(E40,AK:AM),LOOKUP(E40,AU:AW)),IF(C27&gt;2,LOOKUP(E40,BE:BG),IF(C27=2,LOOKUP(E40,AU:AW),LOOKUP(E40,AK:AM)))),AI36)</f>
        <v>Isaiah 47:1-15,</v>
      </c>
      <c r="H40" s="52" t="str">
        <f>IF(ISNUMBER(D40),IF(ISBLANK(BG7),IF(MOD(A7,2),LOOKUP(E40,AK:AN),LOOKUP(E40,AU:AX)),IF(C27&gt;2,LOOKUP(E40,BE:BH),IF(C27=2,LOOKUP(E40,AU:AX),LOOKUP(E40,AK:AN)))),AI36)</f>
        <v>Isaiah 48:1-11,</v>
      </c>
      <c r="I40" s="52" t="str">
        <f>IF(ISNUMBER(D40),IF(ISBLANK(BG7),IF(MOD(A7,2),LOOKUP(E40,AK:AO),LOOKUP(E40,AU:AY)),IF(C27&gt;2,LOOKUP(E40,BE:BI),IF(C27=2,LOOKUP(E40,AU:AY),LOOKUP(E40,AK:AO)))),AI36)</f>
        <v>Isaiah 48:12-21 (22),</v>
      </c>
      <c r="J40" s="52" t="str">
        <f>IF(ISNUMBER(D40),IF(ISBLANK(BG7),IF(MOD(A7,2),LOOKUP(E40,AK:AP),LOOKUP(E40,AU:AZ)),IF(C27&gt;2,LOOKUP(E40,BE:BJ),IF(C27=2,LOOKUP(E40,AU:AZ),LOOKUP(E40,AK:AP)))),AI36)</f>
        <v>Isaiah 49:1-12,</v>
      </c>
      <c r="K40" s="52" t="str">
        <f>IF(ISNUMBER(D40),IF(ISBLANK(BG7),IF(MOD(A7,2),LOOKUP(E40,AK:AQ),LOOKUP(E40,AU:BA)),IF(C27&gt;2,LOOKUP(E40,BE:BK),IF(C27=2,LOOKUP(E40,AU:BA),LOOKUP(E40,AK:AQ)))),AI36)</f>
        <v>Isaiah 49:13-23 (24-26),</v>
      </c>
      <c r="L40" s="52" t="str">
        <f>IF(ISNUMBER(D40),IF(ISBLANK(BG7),IF(MOD(A7,2),LOOKUP(E40,AK:AR),LOOKUP(E40,AU:BB)),IF(C27&gt;2,LOOKUP(E40,BE:BL),IF(C27=2,LOOKUP(E40,AU:BB),LOOKUP(E40,AK:AR)))),AI36)</f>
        <v>Isaiah 50:1-11,</v>
      </c>
      <c r="M40" s="53" t="str">
        <f>IF(ISNUMBER(D40),IF(ISBLANK(BG7),IF(MOD(A7,2),LOOKUP(E40,AK:AS),LOOKUP(E40,AU:BC)),IF(C27&gt;2,LOOKUP(E40,BE:BM),IF(C27=2,LOOKUP(E40,AU:BC),LOOKUP(E40,AK:AS)))),AI36)</f>
        <v>Isaiah 51:1-8,</v>
      </c>
      <c r="N40" s="55" t="str">
        <f>F40</f>
        <v>3 Epiphany</v>
      </c>
      <c r="O40" s="109">
        <f>D40</f>
        <v>41308</v>
      </c>
      <c r="P40" s="2">
        <v>2036</v>
      </c>
      <c r="Q40" s="2">
        <v>413</v>
      </c>
      <c r="R40" s="59">
        <f>DATE(P40,4,13)</f>
        <v>49778</v>
      </c>
      <c r="S40" s="59">
        <f>DATE(A7,4,24)</f>
        <v>41388</v>
      </c>
      <c r="T40" s="59">
        <f>DATE(A7-1,4,24)</f>
        <v>41023</v>
      </c>
      <c r="U40" s="2">
        <v>424</v>
      </c>
      <c r="V40" s="2">
        <v>6</v>
      </c>
      <c r="W40" s="2">
        <v>220</v>
      </c>
      <c r="X40" s="59">
        <f>DATE(A7,2,20)</f>
        <v>41325</v>
      </c>
      <c r="Y40" s="2">
        <v>309</v>
      </c>
      <c r="Z40" s="12">
        <f>DATE(A7,3,9)</f>
        <v>41342</v>
      </c>
      <c r="AA40" s="2">
        <v>602</v>
      </c>
      <c r="AB40" s="59">
        <f>DATE(A7,6,2)</f>
        <v>41427</v>
      </c>
      <c r="AC40" s="2">
        <v>612</v>
      </c>
      <c r="AD40" s="59">
        <f>DATE(A7,6,12)</f>
        <v>41437</v>
      </c>
      <c r="AE40" s="2">
        <v>22</v>
      </c>
      <c r="AF40" s="2">
        <v>1127</v>
      </c>
      <c r="AG40" s="59">
        <f>DATE(A7,11,27)</f>
        <v>41605</v>
      </c>
      <c r="AH40" s="59">
        <f>DATE(A7-1,11,27)</f>
        <v>41240</v>
      </c>
      <c r="AI40" s="2" t="s">
        <v>735</v>
      </c>
      <c r="AK40" s="2">
        <v>35</v>
      </c>
      <c r="AL40" s="87" t="s">
        <v>736</v>
      </c>
      <c r="AM40" s="88" t="s">
        <v>737</v>
      </c>
      <c r="AN40" s="89" t="s">
        <v>738</v>
      </c>
      <c r="AO40" s="88" t="s">
        <v>739</v>
      </c>
      <c r="AP40" s="89" t="s">
        <v>740</v>
      </c>
      <c r="AQ40" s="88" t="s">
        <v>741</v>
      </c>
      <c r="AR40" s="89" t="s">
        <v>742</v>
      </c>
      <c r="AS40" s="89" t="s">
        <v>743</v>
      </c>
      <c r="AU40" s="2">
        <v>35</v>
      </c>
      <c r="AV40" s="87" t="s">
        <v>736</v>
      </c>
      <c r="AW40" s="90" t="s">
        <v>744</v>
      </c>
      <c r="AX40" s="91" t="s">
        <v>745</v>
      </c>
      <c r="AY40" s="90" t="s">
        <v>746</v>
      </c>
      <c r="AZ40" s="91" t="s">
        <v>747</v>
      </c>
      <c r="BA40" s="90" t="s">
        <v>748</v>
      </c>
      <c r="BB40" s="208" t="s">
        <v>749</v>
      </c>
      <c r="BC40" s="91" t="s">
        <v>750</v>
      </c>
      <c r="BE40" s="2">
        <v>35</v>
      </c>
      <c r="BF40" s="87" t="s">
        <v>736</v>
      </c>
      <c r="BG40" s="68" t="s">
        <v>751</v>
      </c>
      <c r="BH40" s="69" t="s">
        <v>752</v>
      </c>
      <c r="BI40" s="68" t="s">
        <v>753</v>
      </c>
      <c r="BJ40" s="69" t="s">
        <v>754</v>
      </c>
      <c r="BK40" s="69" t="s">
        <v>755</v>
      </c>
      <c r="BL40" s="69" t="s">
        <v>756</v>
      </c>
      <c r="BM40" s="69" t="s">
        <v>757</v>
      </c>
      <c r="BP40" s="185">
        <f>D40</f>
        <v>41308</v>
      </c>
      <c r="BQ40" s="209">
        <v>32</v>
      </c>
      <c r="BR40" s="187" t="s">
        <v>758</v>
      </c>
      <c r="BS40" s="189" t="str">
        <f>IF(ISBLANK(BG7),IF(MOD(A7,2),LOOKUP(E40,AK7:AM182),LOOKUP(E40,AU:AW)),IF(C27&gt;2,LOOKUP(E40,BE:BG),IF(C27=2,LOOKUP(E40,AU:AW),LOOKUP(E40,AK:AM))))</f>
        <v>Isaiah 47:1-15,</v>
      </c>
      <c r="BT40" s="190" t="str">
        <f>IF(ISBLANK(BG7),IF(MOD(A7,2),LOOKUP(E40,AK7:AN182),LOOKUP(E40,AU:AX)),IF(C27&gt;2,LOOKUP(E40,BE:BH),IF(C27=2,LOOKUP(E40,AU:AX),LOOKUP(E40,AK:AN))))</f>
        <v>Isaiah 48:1-11,</v>
      </c>
      <c r="BU40" s="190" t="str">
        <f>IF(ISBLANK(BG7),IF(MOD(A7,2),LOOKUP(E40,AK7:AO182),LOOKUP(E40,AU:AY)),IF(C27&gt;2,LOOKUP(E40,BE:BI),IF(C27=2,LOOKUP(E40,AU:AY),LOOKUP(E40,AK:AO))))</f>
        <v>Isaiah 48:12-21 (22),</v>
      </c>
      <c r="BV40" s="190" t="str">
        <f>IF(ISBLANK(BG7),IF(MOD(A7,2),LOOKUP(E40,AK7:AP182),LOOKUP(E40,AU:AZ)),IF(C27&gt;2,LOOKUP(E40,BE:BJ),IF(C27=2,LOOKUP(E40,AU:AZ),LOOKUP(E40,AK:AP))))</f>
        <v>Isaiah 49:1-12,</v>
      </c>
      <c r="BW40" s="190" t="str">
        <f>IF(ISBLANK(BG7),IF(MOD(A7,2),LOOKUP(E40,AK7:AQ182),LOOKUP(E40,AU:BA)),IF(C27&gt;2,LOOKUP(E40,BE:BK),IF(C27=2,LOOKUP(E40,AU:BA),LOOKUP(E40,AK:AQ))))</f>
        <v>Isaiah 49:13-23 (24-26),</v>
      </c>
      <c r="BX40" s="190" t="str">
        <f>IF(ISBLANK(BG7),IF(MOD(A7,2),LOOKUP(E40,AK7:AR182),LOOKUP(E40,AU:BB)),IF(C27&gt;2,LOOKUP(E40,BE:BL),IF(C27=2,LOOKUP(E40,AU:BB),LOOKUP(E36,AK:AR))))</f>
        <v>Isaiah 50:1-11,</v>
      </c>
      <c r="BY40" s="210" t="str">
        <f>IF(ISBLANK(BG7),IF(MOD(A7,2),LOOKUP(E40,AK7:AS182),LOOKUP(E40,AU:BC)),IF(C27&gt;2,LOOKUP(E40,BE:BM),IF(C27=2,LOOKUP(E40,AU:BC),LOOKUP(E40,AK:AS))))</f>
        <v>Isaiah 51:1-8,</v>
      </c>
      <c r="BZ40" s="187" t="s">
        <v>758</v>
      </c>
      <c r="CA40" s="211">
        <f>BP40</f>
        <v>41308</v>
      </c>
    </row>
    <row r="41" spans="2:79" ht="12.75">
      <c r="B41" s="4"/>
      <c r="C41" t="str">
        <f>IF(MOD(A7,4),"NOT LEAP YEAR",C39)</f>
        <v>NOT LEAP YEAR</v>
      </c>
      <c r="D41" s="72"/>
      <c r="E41" s="73">
        <v>33</v>
      </c>
      <c r="F41" s="74"/>
      <c r="G41" s="75" t="str">
        <f>IF(ISNUMBER(D40),IF(ISBLANK(BG7),IF(MOD(A7,2),LOOKUP(E41,AK:AM),LOOKUP(E41,AU:AW)),IF(C27&gt;2,LOOKUP(E41,BE:BG),IF(C27=2,LOOKUP(E41,AU:AW),LOOKUP(E41,AK:AM)))),AI36)</f>
        <v>Hebrews 10:19-31,</v>
      </c>
      <c r="H41" s="93" t="str">
        <f>IF(ISNUMBER(D40),IF(ISBLANK(BG7),IF(MOD(A7,2),LOOKUP(E41,AK:AN),LOOKUP(E41,AU:AX)),IF(C27&gt;2,LOOKUP(E41,BE:BH),IF(C27=2,LOOKUP(E41,AU:AX),LOOKUP(E41,AK:AN)))),AI36)</f>
        <v>Galatians 1:1-17,</v>
      </c>
      <c r="I41" s="93" t="str">
        <f>IF(ISNUMBER(D40),IF(ISBLANK(BG7),IF(MOD(A7,2),LOOKUP(E41,AK:AO),LOOKUP(E41,AU:AY)),IF(C27&gt;2,LOOKUP(E41,BE:BI),IF(C27=2,LOOKUP(E41,AU:AY),LOOKUP(E41,AK:AO)))),AI36)</f>
        <v>Galatians 1:18-2:10,</v>
      </c>
      <c r="J41" s="93" t="str">
        <f>IF(ISNUMBER(D40),IF(ISBLANK(BG7),IF(MOD(A7,2),LOOKUP(E41,AK:AP),LOOKUP(E41,AU:AZ)),IF(C27&gt;2,LOOKUP(E41,BE:BJ),IF(C27=2,LOOKUP(E41,AU:AZ),LOOKUP(E41,AK:AP)))),AI36)</f>
        <v>Galatians 2:11-21,</v>
      </c>
      <c r="K41" s="93" t="str">
        <f>IF(ISNUMBER(D40),IF(ISBLANK(BG7),IF(MOD(A7,2),LOOKUP(E41,AK:AQ),LOOKUP(E41,AU:BA)),IF(C27&gt;2,LOOKUP(E41,BE:BK),IF(C27=2,LOOKUP(E41,AU:BA),LOOKUP(E41,AK:AQ)))),AI36)</f>
        <v>Galatians 3:1-14,</v>
      </c>
      <c r="L41" s="93" t="str">
        <f>IF(ISNUMBER(D40),IF(ISBLANK(BG7),IF(MOD(A7,2),LOOKUP(E41,AK:AR),LOOKUP(E41,AU:BB)),IF(C27&gt;2,LOOKUP(E41,BE:BL),IF(C27=2,LOOKUP(E41,AU:BB),LOOKUP(E41,AK:AR)))),AI36)</f>
        <v>Galatians 3:15-22,</v>
      </c>
      <c r="M41" s="212" t="str">
        <f>IF(ISNUMBER(D40),IF(ISBLANK(BG7),IF(MOD(A7,2),LOOKUP(E41,AK:AS),LOOKUP(E41,AU:BC)),IF(C27&gt;2,LOOKUP(E41,BE:BM),IF(C27=2,LOOKUP(E41,AU:BC),LOOKUP(E41,AK:AS)))),AI36)</f>
        <v>Galatians 3:23-29,</v>
      </c>
      <c r="N41" s="77"/>
      <c r="O41" s="78"/>
      <c r="P41" s="2">
        <v>2037</v>
      </c>
      <c r="Q41" s="2">
        <v>405</v>
      </c>
      <c r="R41" s="59">
        <f>DATE(P41,4,5)</f>
        <v>50135</v>
      </c>
      <c r="S41" s="59">
        <f>DATE(A7,4,25)</f>
        <v>41389</v>
      </c>
      <c r="T41" s="59">
        <f>DATE(A7-1,4,25)</f>
        <v>41024</v>
      </c>
      <c r="U41" s="2">
        <v>425</v>
      </c>
      <c r="V41" s="2">
        <v>6</v>
      </c>
      <c r="W41" s="2">
        <v>221</v>
      </c>
      <c r="X41" s="59">
        <f>DATE(A7,2,21)</f>
        <v>41326</v>
      </c>
      <c r="Y41" s="2">
        <v>310</v>
      </c>
      <c r="Z41" s="12">
        <f>DATE(A7,3,10)</f>
        <v>41343</v>
      </c>
      <c r="AA41" s="2">
        <v>603</v>
      </c>
      <c r="AB41" s="59">
        <f>DATE(A7,6,3)</f>
        <v>41428</v>
      </c>
      <c r="AC41" s="2">
        <v>613</v>
      </c>
      <c r="AD41" s="59">
        <f>DATE(A7,6,13)</f>
        <v>41438</v>
      </c>
      <c r="AE41" s="2">
        <v>22</v>
      </c>
      <c r="AF41" s="2">
        <v>1128</v>
      </c>
      <c r="AG41" s="59">
        <f>DATE(A7,11,28)</f>
        <v>41606</v>
      </c>
      <c r="AH41" s="59">
        <f>DATE(A7-1,11,28)</f>
        <v>41241</v>
      </c>
      <c r="AI41" s="213">
        <f>LOOKUP(B13,S7:Z152)</f>
        <v>41318</v>
      </c>
      <c r="AK41" s="2">
        <v>36</v>
      </c>
      <c r="AL41" s="62" t="s">
        <v>759</v>
      </c>
      <c r="AM41" s="63" t="s">
        <v>760</v>
      </c>
      <c r="AN41" s="64" t="s">
        <v>761</v>
      </c>
      <c r="AO41" s="63" t="s">
        <v>762</v>
      </c>
      <c r="AP41" s="64" t="s">
        <v>763</v>
      </c>
      <c r="AQ41" s="63" t="s">
        <v>764</v>
      </c>
      <c r="AR41" s="64" t="s">
        <v>765</v>
      </c>
      <c r="AS41" s="64" t="s">
        <v>766</v>
      </c>
      <c r="AU41" s="2">
        <v>36</v>
      </c>
      <c r="AV41" s="62" t="s">
        <v>759</v>
      </c>
      <c r="AW41" s="66" t="s">
        <v>767</v>
      </c>
      <c r="AX41" s="67" t="s">
        <v>430</v>
      </c>
      <c r="AY41" s="66" t="s">
        <v>431</v>
      </c>
      <c r="AZ41" s="67" t="s">
        <v>432</v>
      </c>
      <c r="BA41" s="67" t="s">
        <v>768</v>
      </c>
      <c r="BB41" s="184" t="s">
        <v>769</v>
      </c>
      <c r="BC41" s="67" t="s">
        <v>770</v>
      </c>
      <c r="BE41" s="2">
        <v>36</v>
      </c>
      <c r="BF41" s="62" t="s">
        <v>759</v>
      </c>
      <c r="BG41" s="68" t="s">
        <v>771</v>
      </c>
      <c r="BH41" s="69" t="s">
        <v>772</v>
      </c>
      <c r="BI41" s="68" t="s">
        <v>773</v>
      </c>
      <c r="BJ41" s="69" t="s">
        <v>774</v>
      </c>
      <c r="BK41" s="69" t="s">
        <v>775</v>
      </c>
      <c r="BL41" s="69" t="s">
        <v>776</v>
      </c>
      <c r="BM41" s="69" t="s">
        <v>777</v>
      </c>
      <c r="BP41" s="193"/>
      <c r="BQ41" s="186">
        <v>33</v>
      </c>
      <c r="BR41" s="194"/>
      <c r="BS41" s="196" t="str">
        <f>IF(ISBLANK(BG7),IF(MOD(A7,2),LOOKUP(E41,AK7:AM182),LOOKUP(E41,AU:AW)),IF(C27&gt;2,LOOKUP(E41,BE:BG),IF(C27=2,LOOKUP(E41,AU:AW),LOOKUP(E41,AK:AM))))</f>
        <v>Hebrews 10:19-31,</v>
      </c>
      <c r="BT41" s="197" t="str">
        <f>IF(ISBLANK(BG7),IF(MOD(A7,2),LOOKUP(E41,AK7:AN182),LOOKUP(E41,AU:AX)),IF(C27&gt;2,LOOKUP(E41,BE:BH),IF(C27=2,LOOKUP(E41,AU:AX),LOOKUP(E41,AK:AN))))</f>
        <v>Galatians 1:1-17,</v>
      </c>
      <c r="BU41" s="197" t="str">
        <f>IF(ISBLANK(BG7),IF(MOD(A7,2),LOOKUP(E41,AK7:AO182),LOOKUP(E41,AU:AY)),IF(C27&gt;2,LOOKUP(E41,BE:BI),IF(C27=2,LOOKUP(E41,AU:AY),LOOKUP(E41,AK:AO))))</f>
        <v>Galatians 1:18-2:10,</v>
      </c>
      <c r="BV41" s="197" t="str">
        <f>IF(ISBLANK(BG7),IF(MOD(A7,2),LOOKUP(E41,AK7:AP182),LOOKUP(E41,AU:AZ)),IF(C27&gt;2,LOOKUP(E41,BE:BJ),IF(C27=2,LOOKUP(E41,AU:AZ),LOOKUP(E41,AK:AP))))</f>
        <v>Galatians 2:11-21,</v>
      </c>
      <c r="BW41" s="197" t="str">
        <f>IF(ISBLANK(BG7),IF(MOD(A7,2),LOOKUP(E41,AK7:AQ182),LOOKUP(E41,AU:BA)),IF(C27&gt;2,LOOKUP(E41,BE:BK),IF(C27=2,LOOKUP(E41,AU:BA),LOOKUP(E41,AK:AQ))))</f>
        <v>Galatians 3:1-14,</v>
      </c>
      <c r="BX41" s="197" t="str">
        <f>IF(ISBLANK(BG7),IF(MOD(A7,2),LOOKUP(E41,AK7:AR182),LOOKUP(E41,AU:BB)),IF(C27&gt;2,LOOKUP(E41,BE:BL),IF(C27=2,LOOKUP(E41,AU:BB),LOOKUP(E41,AK:AR))))</f>
        <v>Galatians 3:15-22,</v>
      </c>
      <c r="BY41" s="214" t="str">
        <f>IF(ISBLANK(BG7),IF(MOD(A7,2),LOOKUP(E41,AK7:AS182),LOOKUP(E41,AU:BC)),IF(C27&gt;2,LOOKUP(E41,BE:BM),IF(C27=2,LOOKUP(E41,AU:BC),LOOKUP(E41,AK:AS))))</f>
        <v>Galatians 3:23-29,</v>
      </c>
      <c r="BZ41" s="194"/>
      <c r="CA41" s="198"/>
    </row>
    <row r="42" spans="2:79" ht="12.75">
      <c r="B42" s="154"/>
      <c r="C42" s="4"/>
      <c r="D42" s="81"/>
      <c r="E42" s="96">
        <v>34</v>
      </c>
      <c r="F42" s="97"/>
      <c r="G42" s="82" t="str">
        <f>IF(ISNUMBER(D40),IF(ISBLANK(BG7),IF(MOD(A7,2),LOOKUP(E42,AK:AM),LOOKUP(E42,AU:AW)),IF(C27&gt;2,LOOKUP(E42,BE:BG),IF(C27=2,LOOKUP(E42,AU:AW),LOOKUP(E42,AK:AM)))),AI36)</f>
        <v>John 5:2-18</v>
      </c>
      <c r="H42" s="83" t="str">
        <f>IF(ISNUMBER(D40),IF(ISBLANK(BG7),IF(MOD(A7,2),LOOKUP(E42,AK:AN),LOOKUP(E42,AU:AX)),IF(C27&gt;2,LOOKUP(E42,BE:BH),IF(C27=2,LOOKUP(E42,AU:AX),LOOKUP(E42,AK:AN)))),AI36)</f>
        <v>Mark 5:21-43</v>
      </c>
      <c r="I42" s="83" t="str">
        <f>IF(ISNUMBER(D40),IF(ISBLANK(BG7),IF(MOD(A7,2),LOOKUP(E42,AK:AO),LOOKUP(E42,AU:AY)),IF(C27&gt;2,LOOKUP(E42,BE:BI),IF(C27=2,LOOKUP(E42,AU:AY),LOOKUP(E42,AK:AO)))),AI36)</f>
        <v>Mark 6:1-13</v>
      </c>
      <c r="J42" s="83" t="str">
        <f>IF(ISNUMBER(D40),IF(ISBLANK(BG7),IF(MOD(A7,2),LOOKUP(E42,AK:AP),LOOKUP(E42,AU:AZ)),IF(C27&gt;2,LOOKUP(E42,BE:BJ),IF(C27=2,LOOKUP(E42,AU:AZ),LOOKUP(E42,AK:AP)))),AI36)</f>
        <v>Mark 6:13-29</v>
      </c>
      <c r="K42" s="83" t="str">
        <f>IF(ISNUMBER(D40),IF(ISBLANK(BG7),IF(MOD(A7,2),LOOKUP(E42,AK:AQ),LOOKUP(E42,AU:BA)),IF(C27&gt;2,LOOKUP(E42,BE:BK),IF(C27=2,LOOKUP(E42,AU:BA),LOOKUP(E42,AK:AQ)))),AI36)</f>
        <v>Mark 6:30-46</v>
      </c>
      <c r="L42" s="83" t="str">
        <f>IF(ISNUMBER(D40),IF(ISBLANK(BG7),IF(MOD(A7,2),LOOKUP(E42,AK:AR),LOOKUP(E42,AU:BB)),IF(C27&gt;2,LOOKUP(E42,BE:BL),IF(C27=2,LOOKUP(E42,AU:BB),LOOKUP(E42,AK:AR)))),AI36)</f>
        <v>Mark 6:47-56</v>
      </c>
      <c r="M42" s="215" t="str">
        <f>IF(ISNUMBER(D40),IF(ISBLANK(BG7),IF(MOD(A7,2),LOOKUP(E42,AK:AS),LOOKUP(E42,AU:BC)),IF(C27&gt;2,LOOKUP(E42,BE:BM),IF(C27=2,LOOKUP(E42,AU:BC),LOOKUP(E42,AK:AS)))),AI36)</f>
        <v>Mark 7:1-23</v>
      </c>
      <c r="N42" s="98"/>
      <c r="O42" s="78"/>
      <c r="P42" s="2">
        <v>2038</v>
      </c>
      <c r="Q42" s="2">
        <v>425</v>
      </c>
      <c r="R42" s="59">
        <f>DATE(P42,4,25)</f>
        <v>50520</v>
      </c>
      <c r="S42" s="59"/>
      <c r="T42" s="59"/>
      <c r="X42" s="59"/>
      <c r="Z42" s="12"/>
      <c r="AB42" s="59"/>
      <c r="AD42" s="59"/>
      <c r="AG42" s="59"/>
      <c r="AH42" s="59"/>
      <c r="AK42" s="2">
        <v>37</v>
      </c>
      <c r="AL42" s="100" t="s">
        <v>778</v>
      </c>
      <c r="AM42" s="101" t="s">
        <v>779</v>
      </c>
      <c r="AN42" s="102" t="s">
        <v>780</v>
      </c>
      <c r="AO42" s="101" t="s">
        <v>781</v>
      </c>
      <c r="AP42" s="102" t="s">
        <v>782</v>
      </c>
      <c r="AQ42" s="101" t="s">
        <v>783</v>
      </c>
      <c r="AR42" s="102" t="s">
        <v>784</v>
      </c>
      <c r="AS42" s="102" t="s">
        <v>785</v>
      </c>
      <c r="AU42" s="2">
        <v>37</v>
      </c>
      <c r="AV42" s="100" t="s">
        <v>778</v>
      </c>
      <c r="AW42" s="103" t="s">
        <v>786</v>
      </c>
      <c r="AX42" s="104" t="s">
        <v>787</v>
      </c>
      <c r="AY42" s="103" t="s">
        <v>788</v>
      </c>
      <c r="AZ42" s="104" t="s">
        <v>789</v>
      </c>
      <c r="BA42" s="103" t="s">
        <v>790</v>
      </c>
      <c r="BB42" s="216" t="s">
        <v>791</v>
      </c>
      <c r="BC42" s="104" t="s">
        <v>792</v>
      </c>
      <c r="BE42" s="2">
        <v>37</v>
      </c>
      <c r="BF42" s="100" t="s">
        <v>778</v>
      </c>
      <c r="BG42" s="68" t="s">
        <v>793</v>
      </c>
      <c r="BH42" s="69" t="s">
        <v>794</v>
      </c>
      <c r="BI42" s="68" t="s">
        <v>795</v>
      </c>
      <c r="BJ42" s="69" t="s">
        <v>796</v>
      </c>
      <c r="BK42" s="69" t="s">
        <v>797</v>
      </c>
      <c r="BL42" s="69" t="s">
        <v>798</v>
      </c>
      <c r="BM42" s="69" t="s">
        <v>799</v>
      </c>
      <c r="BP42" s="201"/>
      <c r="BQ42" s="202">
        <v>34</v>
      </c>
      <c r="BR42" s="203"/>
      <c r="BS42" s="217" t="str">
        <f>IF(ISBLANK(BG7),IF(MOD(A7,2),LOOKUP(E42,AK7:AM182),LOOKUP(E42,AU:AW)),IF(C27&gt;2,LOOKUP(E42,BE:BG),IF(C27=2,LOOKUP(E42,AU:AW),LOOKUP(E42,AK:AM))))</f>
        <v>John 5:2-18</v>
      </c>
      <c r="BT42" s="206" t="str">
        <f>IF(ISBLANK(BG7),IF(MOD(A7,2),LOOKUP(E42,AK7:AN182),LOOKUP(E42,AU:AX)),IF(C27&gt;2,LOOKUP(E42,BE:BH),IF(C27=2,LOOKUP(E42,AU:AX),LOOKUP(E42,AK:AN))))</f>
        <v>Mark 5:21-43</v>
      </c>
      <c r="BU42" s="206" t="str">
        <f>IF(ISBLANK(BG7),IF(MOD(A7,2),LOOKUP(E42,AK7:AO182),LOOKUP(E42,AU:AY)),IF(C27&gt;2,LOOKUP(E42,BE:BI),IF(C27=2,LOOKUP(E42,AU:AY),LOOKUP(E42,AK:AO))))</f>
        <v>Mark 6:1-13</v>
      </c>
      <c r="BV42" s="206" t="str">
        <f>IF(ISBLANK(BG7),IF(MOD(A7,2),LOOKUP(E42,AK7:AP182),LOOKUP(E42,AU:AZ)),IF(C27&gt;2,LOOKUP(E42,BE:BJ),IF(C27=2,LOOKUP(E42,AU:AZ),LOOKUP(E42,AK:AP))))</f>
        <v>Mark 6:13-29</v>
      </c>
      <c r="BW42" s="206" t="str">
        <f>IF(ISBLANK(BG7),IF(MOD(A7,2),LOOKUP(E42,AK7:AQ182),LOOKUP(E42,AU:BA)),IF(C27&gt;2,LOOKUP(E42,BE:BK),IF(C27=2,LOOKUP(E42,AU:BA),LOOKUP(E42,AK:AQ))))</f>
        <v>Mark 6:30-46</v>
      </c>
      <c r="BX42" s="206" t="str">
        <f>IF(ISBLANK(BG7),IF(MOD(A7,2),LOOKUP(E42,AK7:AR182),LOOKUP(E42,AU:BB)),IF(C27&gt;2,LOOKUP(E42,BE:BL),IF(C27=2,LOOKUP(E42,AU:BB),LOOKUP(E42,AK:AR))))</f>
        <v>Mark 6:47-56</v>
      </c>
      <c r="BY42" s="218" t="str">
        <f>IF(ISBLANK(BG7),IF(MOD(A7,2),LOOKUP(E42,AK7:AS182),LOOKUP(E42,AU:BC)),IF(C27&gt;2,LOOKUP(E42,BE:BM),IF(C27=2,LOOKUP(E42,AU:BC),LOOKUP(E42,AK:AS))))</f>
        <v>Mark 7:1-23</v>
      </c>
      <c r="BZ42" s="203"/>
      <c r="CA42" s="198"/>
    </row>
    <row r="43" spans="2:79" ht="12.75">
      <c r="B43" s="219"/>
      <c r="C43" s="4"/>
      <c r="D43" s="138">
        <f>IF(ISTEXT(B10),IF(AI62&gt;3,D7+63),IF(AI62&gt;1,D7+70,"OMIT"))</f>
        <v>41315</v>
      </c>
      <c r="E43" s="49">
        <v>35</v>
      </c>
      <c r="F43" s="50" t="s">
        <v>800</v>
      </c>
      <c r="G43" s="51" t="str">
        <f>IF(ISNUMBER(D43),IF(ISBLANK(BG7),IF(MOD(A7,2),LOOKUP(E43,AK:AM),LOOKUP(E43,AU:AW)),IF(C27&gt;2,LOOKUP(E43,BE:BG),IF(C27=2,LOOKUP(E43,AU:AW),LOOKUP(E43,AK:AM)))),AI36)</f>
        <v>Isaiah 51:9-16,</v>
      </c>
      <c r="H43" s="52" t="str">
        <f>IF(ISNUMBER(D43),IF(ISBLANK(BG7),IF(MOD(A7,2),LOOKUP(E43,AK:AN),LOOKUP(E43,AU:AX)),IF(C27&gt;2,LOOKUP(E43,BE:BH),IF(C27=2,LOOKUP(E43,AU:AX),LOOKUP(E43,AK:AN)))),AI36)</f>
        <v>Isaiah 51:17-23,</v>
      </c>
      <c r="I43" s="52" t="str">
        <f>IF(ISNUMBER(D43),IF(ISBLANK(BG7),IF(MOD(A7,2),LOOKUP(E43,AK:AO),LOOKUP(E43,AU:AY)),IF(C27&gt;2,LOOKUP(E43,BE:BI),IF(C27=2,LOOKUP(E43,AU:AY),LOOKUP(E43,AK:AO)))),AI36)</f>
        <v>Isaiah 52:1-12,</v>
      </c>
      <c r="J43" s="52" t="str">
        <f>IF(ISNUMBER(D43),IF(ISBLANK(BG7),IF(MOD(A7,2),LOOKUP(E43,AK:AP),LOOKUP(E43,AU:AZ)),IF(C27&gt;2,LOOKUP(E43,BE:BJ),IF(C27=2,LOOKUP(E43,AU:AZ),LOOKUP(E43,AK:AP)))),AI36)</f>
        <v>Isaiah 52:13-53:12,</v>
      </c>
      <c r="K43" s="52" t="str">
        <f>IF(ISNUMBER(D43),IF(ISBLANK(BG7),IF(MOD(A7,2),LOOKUP(E43,AK:AQ),LOOKUP(E43,AU:BA)),IF(C27&gt;2,LOOKUP(E43,BE:BK),IF(C27=2,LOOKUP(E43,AU:BA),LOOKUP(E43,AK:AQ)))),AI36)</f>
        <v>Isaiah 54:1-10 (11-17),</v>
      </c>
      <c r="L43" s="52" t="str">
        <f>IF(ISNUMBER(D43),IF(ISBLANK(BG7),IF(MOD(A7,2),LOOKUP(E43,AK:AR),LOOKUP(E43,AU:BB)),IF(C27&gt;2,LOOKUP(E43,BE:BL),IF(C27=2,LOOKUP(E43,AU:BB),LOOKUP(E43,AK:AR)))),AI36)</f>
        <v>Isaiah 55:1-13,</v>
      </c>
      <c r="M43" s="52" t="str">
        <f>IF(ISNUMBER(D43),IF(ISBLANK(BG7),IF(MOD(A7,2),LOOKUP(E43,AK:AS),LOOKUP(E43,AU:BC)),IF(C27&gt;2,LOOKUP(E43,BE:BM),IF(C27=2,LOOKUP(E43,AU:BC),LOOKUP(E43,AK:AS)))),AI36)</f>
        <v>Isaiah 56:1-8,</v>
      </c>
      <c r="N43" s="55" t="str">
        <f>F43</f>
        <v>4 Epiphany (variable)</v>
      </c>
      <c r="O43" s="56">
        <f>D43</f>
        <v>41315</v>
      </c>
      <c r="P43" s="2">
        <v>2039</v>
      </c>
      <c r="Q43" s="2">
        <v>410</v>
      </c>
      <c r="R43" s="59">
        <f>DATE(P43,4,10)</f>
        <v>50870</v>
      </c>
      <c r="S43" s="59"/>
      <c r="T43" s="59"/>
      <c r="X43" s="59"/>
      <c r="Z43" s="12"/>
      <c r="AI43" s="2" t="s">
        <v>801</v>
      </c>
      <c r="AK43" s="2">
        <v>38</v>
      </c>
      <c r="AL43" s="87" t="s">
        <v>802</v>
      </c>
      <c r="AM43" s="88" t="s">
        <v>803</v>
      </c>
      <c r="AN43" s="89" t="s">
        <v>804</v>
      </c>
      <c r="AO43" s="88" t="s">
        <v>805</v>
      </c>
      <c r="AP43" s="89" t="s">
        <v>806</v>
      </c>
      <c r="AQ43" s="88" t="s">
        <v>807</v>
      </c>
      <c r="AR43" s="89" t="s">
        <v>808</v>
      </c>
      <c r="AS43" s="89" t="s">
        <v>809</v>
      </c>
      <c r="AU43" s="2">
        <v>38</v>
      </c>
      <c r="AV43" s="87" t="s">
        <v>802</v>
      </c>
      <c r="AW43" s="90" t="s">
        <v>810</v>
      </c>
      <c r="AX43" s="91" t="s">
        <v>811</v>
      </c>
      <c r="AY43" s="90" t="s">
        <v>812</v>
      </c>
      <c r="AZ43" s="91" t="s">
        <v>813</v>
      </c>
      <c r="BA43" s="90" t="s">
        <v>814</v>
      </c>
      <c r="BB43" s="208" t="s">
        <v>815</v>
      </c>
      <c r="BC43" s="91" t="s">
        <v>816</v>
      </c>
      <c r="BE43" s="2">
        <v>38</v>
      </c>
      <c r="BF43" s="87" t="s">
        <v>802</v>
      </c>
      <c r="BG43" s="68" t="s">
        <v>817</v>
      </c>
      <c r="BH43" s="69" t="s">
        <v>818</v>
      </c>
      <c r="BI43" s="68" t="s">
        <v>819</v>
      </c>
      <c r="BJ43" s="69" t="s">
        <v>820</v>
      </c>
      <c r="BK43" s="69" t="s">
        <v>821</v>
      </c>
      <c r="BL43" s="69" t="s">
        <v>822</v>
      </c>
      <c r="BM43" s="69" t="s">
        <v>823</v>
      </c>
      <c r="BP43" s="185">
        <f>D43</f>
        <v>41315</v>
      </c>
      <c r="BQ43" s="209">
        <v>35</v>
      </c>
      <c r="BR43" s="187" t="s">
        <v>800</v>
      </c>
      <c r="BS43" s="189" t="str">
        <f>IF(ISNUMBER(D43),IF(ISBLANK(BG7),IF(MOD(A7,2),LOOKUP(E43,AK:AM),LOOKUP(E43,AU:AW)),IF(C27&gt;2,LOOKUP(E43,BE:BG),IF(C27=2,LOOKUP(E43,AU:AW),LOOKUP(E43,AK:AM)))),AI36)</f>
        <v>Isaiah 51:9-16,</v>
      </c>
      <c r="BT43" s="190" t="str">
        <f>IF(ISNUMBER(D37),IF(ISBLANK(BG7),IF(MOD(A7,2),LOOKUP(E43,AK:AN),LOOKUP(E43,AU:AX)),IF(C27&gt;2,LOOKUP(E43,BE:BH),IF(C27=2,LOOKUP(E43,AU:AX),LOOKUP(E43,AK:AN)))),AI36)</f>
        <v>Isaiah 51:17-23,</v>
      </c>
      <c r="BU43" s="190" t="str">
        <f>IF(ISNUMBER(D43),IF(ISBLANK(BG7),IF(MOD(A7,2),LOOKUP(E43,AK:AO),LOOKUP(E43,AU:AY)),IF(C27&gt;2,LOOKUP(E43,BE:BI),IF(C27=2,LOOKUP(E43,AU:AY),LOOKUP(E43,AK:AO)))),AI36)</f>
        <v>Isaiah 52:1-12,</v>
      </c>
      <c r="BV43" s="190" t="str">
        <f>IF(ISNUMBER(D37),IF(ISBLANK(BG7),IF(MOD(A7,2),LOOKUP(E43,AK:AP),LOOKUP(E43,AU:AZ)),IF(C27&gt;2,LOOKUP(E43,BE:BJ),IF(C27=2,LOOKUP(E43,AU:AZ),LOOKUP(E43,AK:AP)))),AI36)</f>
        <v>Isaiah 52:13-53:12,</v>
      </c>
      <c r="BW43" s="190" t="str">
        <f>IF(ISNUMBER(D37),IF(ISBLANK(BG7),IF(MOD(A7,2),LOOKUP(E43,AK:AQ),LOOKUP(E43,AU:BA)),IF(C27&gt;2,LOOKUP(E43,BE:BK),IF(C27=2,LOOKUP(E43,AU:BA),LOOKUP(E43,AK:AQ)))),AI36)</f>
        <v>Isaiah 54:1-10 (11-17),</v>
      </c>
      <c r="BX43" s="190" t="str">
        <f>IF(ISNUMBER(D37),IF(ISBLANK(BG7),IF(MOD(A7,2),LOOKUP(E43,AK:AR),LOOKUP(E43,AU:BB)),IF(C27&gt;2,LOOKUP(E43,BE:BL),IF(C27=2,LOOKUP(E43,AU:BB),LOOKUP(E43,AK:AR)))),AI36)</f>
        <v>Isaiah 55:1-13,</v>
      </c>
      <c r="BY43" s="190" t="str">
        <f>IF(ISNUMBER(D37),IF(ISBLANK(BG7),IF(MOD(A7,2),LOOKUP(E43,AK:AS),LOOKUP(E43,AU:BC)),IF(C27&gt;2,LOOKUP(E43,BE:BM),IF(C27=2,LOOKUP(E43,AU:BC),LOOKUP(E43,AK:AS)))),AI36)</f>
        <v>Isaiah 56:1-8,</v>
      </c>
      <c r="BZ43" s="187" t="s">
        <v>800</v>
      </c>
      <c r="CA43" s="191">
        <f>BP43</f>
        <v>41315</v>
      </c>
    </row>
    <row r="44" spans="2:79" ht="12.75">
      <c r="B44" s="4"/>
      <c r="C44" s="4"/>
      <c r="D44" s="72"/>
      <c r="E44" s="73">
        <v>36</v>
      </c>
      <c r="F44" s="74"/>
      <c r="G44" s="75" t="str">
        <f>IF(ISNUMBER(D43),IF(ISBLANK(BG7),IF(MOD(A7,2),LOOKUP(E44,AK:AM),LOOKUP(E44,AU:AW)),IF(C27&gt;2,LOOKUP(E44,BE:BG),IF(C27=2,LOOKUP(E44,AU:AW),LOOKUP(E44,AK:AM)))),AI36)</f>
        <v>Hebrews 11:8-16,</v>
      </c>
      <c r="H44" s="93" t="str">
        <f>IF(ISNUMBER(D43),IF(ISBLANK(BG7),IF(MOD(A7,2),LOOKUP(E44,AK:AN),LOOKUP(E44,AU:AX)),IF(C27&gt;2,LOOKUP(E44,BE:BH),IF(C27=2,LOOKUP(E44,AU:AX),LOOKUP(E44,AK:AN)))),AI36)</f>
        <v>Galatians 4:1-11,</v>
      </c>
      <c r="I44" s="93" t="str">
        <f>IF(ISNUMBER(D43),IF(ISBLANK(BG7),IF(MOD(A7,2),LOOKUP(E44,AK:AO),LOOKUP(E44,AU:AY)),IF(C27&gt;2,LOOKUP(E44,BE:BI),IF(C27=2,LOOKUP(E44,AU:AY),LOOKUP(E44,AK:AO)))),AI36)</f>
        <v>Galatians 4:12-20,</v>
      </c>
      <c r="J44" s="93" t="str">
        <f>IF(ISNUMBER(D43),IF(ISBLANK(BG7),IF(MOD(A7,2),LOOKUP(E44,AK:AP),LOOKUP(E44,AU:AZ)),IF(C27&gt;2,LOOKUP(E44,BE:BJ),IF(C27=2,LOOKUP(E44,AU:AZ),LOOKUP(E44,AK:AP)))),AI36)</f>
        <v>Galatians 4:21-31,</v>
      </c>
      <c r="K44" s="93" t="str">
        <f>IF(ISNUMBER(D43),IF(ISBLANK(BG7),IF(MOD(A7,2),LOOKUP(E44,AK:AQ),LOOKUP(E44,AU:BA)),IF(C27&gt;2,LOOKUP(E44,BE:BK),IF(C27=2,LOOKUP(E44,AU:BA),LOOKUP(E44,AK:AQ)))),AI36)</f>
        <v>Galatians 5:1-15,</v>
      </c>
      <c r="L44" s="93" t="str">
        <f>IF(ISNUMBER(D43),IF(ISBLANK(BG7),IF(MOD(A7,2),LOOKUP(E44,AK:AR),LOOKUP(E44,AU:BB)),IF(C27&gt;2,LOOKUP(E44,BE:BL),IF(C27=2,LOOKUP(E44,AU:BB),LOOKUP(E44,AK:AR)))),AI36)</f>
        <v>Galatians 5:16-24,</v>
      </c>
      <c r="M44" s="93" t="str">
        <f>IF(ISNUMBER(D43),IF(ISBLANK(BG7),IF(MOD(A7,2),LOOKUP(E44,AK:AS),LOOKUP(E44,AU:BC)),IF(C27&gt;2,LOOKUP(E44,BE:BM),IF(C27=2,LOOKUP(E44,AU:BC),LOOKUP(E44,AK:AS)))),AI36)</f>
        <v>Galatians 5:25-6:10,</v>
      </c>
      <c r="N44" s="77"/>
      <c r="O44" s="78"/>
      <c r="P44" s="2">
        <v>2040</v>
      </c>
      <c r="Q44" s="2">
        <v>401</v>
      </c>
      <c r="R44" s="59">
        <f>DATE(P44,4,1)</f>
        <v>51227</v>
      </c>
      <c r="Z44" s="12"/>
      <c r="AB44" s="59"/>
      <c r="AD44" s="59"/>
      <c r="AG44" s="59"/>
      <c r="AH44" s="59"/>
      <c r="AI44" s="213">
        <f>IF(AND(AI41&gt;=AI56,B7="Leap Year"),AI41,AI41+1)</f>
        <v>41319</v>
      </c>
      <c r="AK44" s="2">
        <v>39</v>
      </c>
      <c r="AL44" s="62" t="s">
        <v>824</v>
      </c>
      <c r="AM44" s="63" t="s">
        <v>825</v>
      </c>
      <c r="AN44" s="64" t="s">
        <v>826</v>
      </c>
      <c r="AO44" s="63" t="s">
        <v>827</v>
      </c>
      <c r="AP44" s="64" t="s">
        <v>828</v>
      </c>
      <c r="AQ44" s="63" t="s">
        <v>829</v>
      </c>
      <c r="AR44" s="64" t="s">
        <v>830</v>
      </c>
      <c r="AS44" s="64" t="s">
        <v>831</v>
      </c>
      <c r="AU44" s="2">
        <v>39</v>
      </c>
      <c r="AV44" s="62" t="s">
        <v>824</v>
      </c>
      <c r="AW44" s="66" t="s">
        <v>832</v>
      </c>
      <c r="AX44" s="67" t="s">
        <v>833</v>
      </c>
      <c r="AY44" s="66" t="s">
        <v>834</v>
      </c>
      <c r="AZ44" s="67" t="s">
        <v>835</v>
      </c>
      <c r="BA44" s="67" t="s">
        <v>836</v>
      </c>
      <c r="BB44" s="184" t="s">
        <v>837</v>
      </c>
      <c r="BC44" s="67" t="s">
        <v>838</v>
      </c>
      <c r="BE44" s="2">
        <v>39</v>
      </c>
      <c r="BF44" s="62" t="s">
        <v>824</v>
      </c>
      <c r="BG44" s="68" t="s">
        <v>839</v>
      </c>
      <c r="BH44" s="69" t="s">
        <v>840</v>
      </c>
      <c r="BI44" s="68" t="s">
        <v>841</v>
      </c>
      <c r="BJ44" s="69" t="s">
        <v>842</v>
      </c>
      <c r="BK44" s="69" t="s">
        <v>843</v>
      </c>
      <c r="BL44" s="69" t="s">
        <v>844</v>
      </c>
      <c r="BM44" s="69" t="s">
        <v>845</v>
      </c>
      <c r="BP44" s="193"/>
      <c r="BQ44" s="186">
        <v>36</v>
      </c>
      <c r="BR44" s="194"/>
      <c r="BS44" s="196" t="str">
        <f>IF(ISNUMBER(D43),IF(ISBLANK(BG7),IF(MOD(A7,2),LOOKUP(E44,AK:AM),LOOKUP(E44,AU:AW)),IF(C27&gt;2,LOOKUP(E44,BE:BG),IF(C27=2,LOOKUP(E44,AU:AW),LOOKUP(E44,AK:AM)))),AI36)</f>
        <v>Hebrews 11:8-16,</v>
      </c>
      <c r="BT44" s="197" t="str">
        <f>IF(ISNUMBER(D37),IF(ISBLANK(BG7),IF(MOD(A7,2),LOOKUP(E44,AK:AN),LOOKUP(E44,AU:AX)),IF(C27&gt;2,LOOKUP(E44,BE:BH),IF(C27=2,LOOKUP(E44,AU:AX),LOOKUP(E44,AK:AN)))),AI36)</f>
        <v>Galatians 4:1-11,</v>
      </c>
      <c r="BU44" s="197" t="str">
        <f>IF(ISNUMBER(D43),IF(ISBLANK(BG7),IF(MOD(A7,2),LOOKUP(E44,AK:AO),LOOKUP(E44,AU:AY)),IF(C27&gt;2,LOOKUP(E44,BE:BI),IF(C27=2,LOOKUP(E44,AU:AY),LOOKUP(E44,AK:AO)))),AI36)</f>
        <v>Galatians 4:12-20,</v>
      </c>
      <c r="BV44" s="197" t="str">
        <f>IF(ISNUMBER(D37),IF(ISBLANK(BG7),IF(MOD(A7,2),LOOKUP(E44,AK:AP),LOOKUP(E44,AU:AZ)),IF(C27&gt;2,LOOKUP(E44,BE:BJ),IF(C27=2,LOOKUP(E44,AU:AZ),LOOKUP(E44,AK:AP)))),AI36)</f>
        <v>Galatians 4:21-31,</v>
      </c>
      <c r="BW44" s="197" t="str">
        <f>IF(ISNUMBER(D37),IF(ISBLANK(BG7),IF(MOD(A7,2),LOOKUP(E44,AK:AQ),LOOKUP(E44,AU:BA)),IF(C27&gt;2,LOOKUP(E44,BE:BK),IF(C27=2,LOOKUP(E44,AU:BA),LOOKUP(E44,AK:AQ)))),AI36)</f>
        <v>Galatians 5:1-15,</v>
      </c>
      <c r="BX44" s="197" t="str">
        <f>IF(ISNUMBER(D37),IF(ISBLANK(BG7),IF(MOD(A7,2),LOOKUP(E44,AK:AR),LOOKUP(E44,AU:BB)),IF(C27&gt;2,LOOKUP(E44,BE:BL),IF(C27=2,LOOKUP(E44,AU:BB),LOOKUP(E44,AK:AR)))),AI36)</f>
        <v>Galatians 5:16-24,</v>
      </c>
      <c r="BY44" s="197" t="str">
        <f>IF(ISNUMBER(D37),IF(ISBLANK(BG7),IF(MOD(A7,2),LOOKUP(E44,AK:AS),LOOKUP(E44,AU:BC)),IF(C27&gt;2,LOOKUP(E44,BE:BM),IF(C27=2,LOOKUP(E44,AU:BC),LOOKUP(E44,AK:AS)))),AI36)</f>
        <v>Galatians 5:25-6:10,</v>
      </c>
      <c r="BZ44" s="194"/>
      <c r="CA44" s="198"/>
    </row>
    <row r="45" spans="2:79" ht="12.75">
      <c r="B45" s="154"/>
      <c r="C45" s="4"/>
      <c r="D45" s="81"/>
      <c r="E45" s="96">
        <v>37</v>
      </c>
      <c r="F45" s="97"/>
      <c r="G45" s="82" t="str">
        <f>IF(ISNUMBER(D43),IF(ISBLANK(BG7),IF(MOD(A7,2),LOOKUP(E45,AK:AM),LOOKUP(E45,AU:AW)),IF(C27&gt;2,LOOKUP(E45,BE:BG),IF(C27=2,LOOKUP(E45,AU:AW),LOOKUP(E45,AK:AM)))),AI36)</f>
        <v>John 7:14-31</v>
      </c>
      <c r="H45" s="83" t="str">
        <f>IF(ISNUMBER(D43),IF(ISBLANK(BG7),IF(MOD(A7,2),LOOKUP(E45,AK:AN),LOOKUP(E45,AU:AX)),IF(C27&gt;2,LOOKUP(E45,BE:BH),IF(C27=2,LOOKUP(E45,AU:AX),LOOKUP(E45,AK:AN)))),AI36)</f>
        <v>Mark 7:24-37</v>
      </c>
      <c r="I45" s="83" t="str">
        <f>IF(ISNUMBER(D43),IF(ISBLANK(BG7),IF(MOD(A7,2),LOOKUP(E45,AK:AO),LOOKUP(E45,AU:AY)),IF(C27&gt;2,LOOKUP(E45,BE:BI),IF(C27=2,LOOKUP(E45,AU:AY),LOOKUP(E45,AK:AO)))),AI36)</f>
        <v>Mark 8:1-10</v>
      </c>
      <c r="J45" s="83" t="str">
        <f>IF(ISNUMBER(D43),IF(ISBLANK(BG7),IF(MOD(A7,2),LOOKUP(E45,AK:AP),LOOKUP(E45,AU:AZ)),IF(C27&gt;2,LOOKUP(E45,BE:BJ),IF(C27=2,LOOKUP(E45,AU:AZ),LOOKUP(E45,AK:AP)))),AI36)</f>
        <v>Mark 8:11-26</v>
      </c>
      <c r="K45" s="83" t="str">
        <f>IF(ISNUMBER(D43),IF(ISBLANK(BG7),IF(MOD(A7,2),LOOKUP(E45,AK:AQ),LOOKUP(E45,AU:BA)),IF(C27&gt;2,LOOKUP(E45,BE:BK),IF(C27=2,LOOKUP(E45,AU:BA),LOOKUP(E45,AK:AQ)))),AI36)</f>
        <v>Mark 8:27-9:1</v>
      </c>
      <c r="L45" s="83" t="str">
        <f>IF(ISNUMBER(D43),IF(ISBLANK(BG7),IF(MOD(A7,2),LOOKUP(E45,AK:AR),LOOKUP(E45,AU:BB)),IF(C27&gt;2,LOOKUP(E45,BE:BL),IF(C27=2,LOOKUP(E45,AU:BB),LOOKUP(E45,AK:AR)))),AI36)</f>
        <v>Mark 9:2-13</v>
      </c>
      <c r="M45" s="83" t="str">
        <f>IF(ISNUMBER(D43),IF(ISBLANK(BG7),IF(MOD(A7,2),LOOKUP(E45,AK:AS),LOOKUP(E45,AU:BC)),IF(C27&gt;2,LOOKUP(E45,BE:BM),IF(C27=2,LOOKUP(E45,AU:BC),LOOKUP(E45,AK:AS)))),AI36)</f>
        <v>Mark 9:14-29</v>
      </c>
      <c r="N45" s="98"/>
      <c r="O45" s="99"/>
      <c r="P45" s="2">
        <v>2041</v>
      </c>
      <c r="Q45" s="2">
        <v>421</v>
      </c>
      <c r="R45" s="59">
        <f>DATE(P45,4,21)</f>
        <v>51612</v>
      </c>
      <c r="S45" s="59"/>
      <c r="T45" s="59"/>
      <c r="X45" s="59"/>
      <c r="Z45" s="12"/>
      <c r="AB45" s="59"/>
      <c r="AD45" s="59"/>
      <c r="AG45" s="59"/>
      <c r="AH45" s="59"/>
      <c r="AK45" s="2">
        <v>40</v>
      </c>
      <c r="AL45" s="100" t="s">
        <v>846</v>
      </c>
      <c r="AM45" s="101" t="s">
        <v>847</v>
      </c>
      <c r="AN45" s="102" t="s">
        <v>848</v>
      </c>
      <c r="AO45" s="101" t="s">
        <v>849</v>
      </c>
      <c r="AP45" s="102" t="s">
        <v>850</v>
      </c>
      <c r="AQ45" s="101" t="s">
        <v>851</v>
      </c>
      <c r="AR45" s="102" t="s">
        <v>852</v>
      </c>
      <c r="AS45" s="102" t="s">
        <v>853</v>
      </c>
      <c r="AU45" s="2">
        <v>40</v>
      </c>
      <c r="AV45" s="100" t="s">
        <v>846</v>
      </c>
      <c r="AW45" s="103" t="s">
        <v>854</v>
      </c>
      <c r="AX45" s="104" t="s">
        <v>375</v>
      </c>
      <c r="AY45" s="103" t="s">
        <v>162</v>
      </c>
      <c r="AZ45" s="104" t="s">
        <v>855</v>
      </c>
      <c r="BA45" s="103" t="s">
        <v>856</v>
      </c>
      <c r="BB45" s="216" t="s">
        <v>857</v>
      </c>
      <c r="BC45" s="104" t="s">
        <v>858</v>
      </c>
      <c r="BE45" s="2">
        <v>40</v>
      </c>
      <c r="BF45" s="100" t="s">
        <v>846</v>
      </c>
      <c r="BG45" s="68" t="s">
        <v>859</v>
      </c>
      <c r="BH45" s="69" t="s">
        <v>860</v>
      </c>
      <c r="BI45" s="68" t="s">
        <v>861</v>
      </c>
      <c r="BJ45" s="69" t="s">
        <v>862</v>
      </c>
      <c r="BK45" s="69" t="s">
        <v>863</v>
      </c>
      <c r="BL45" s="69" t="s">
        <v>864</v>
      </c>
      <c r="BM45" s="69" t="s">
        <v>865</v>
      </c>
      <c r="BP45" s="201"/>
      <c r="BQ45" s="202">
        <v>37</v>
      </c>
      <c r="BR45" s="203"/>
      <c r="BS45" s="217" t="str">
        <f>IF(ISNUMBER(D43),IF(ISBLANK(BG7),IF(MOD(A7,2),LOOKUP(E45,AK:AM),LOOKUP(E45,AU:AW)),IF(C27&gt;2,LOOKUP(E45,BE:BG),IF(C27=2,LOOKUP(E45,AU:AW),LOOKUP(E45,AK:AM)))),AI36)</f>
        <v>John 7:14-31</v>
      </c>
      <c r="BT45" s="206" t="str">
        <f>IF(ISNUMBER(D37),IF(ISBLANK(BG7),IF(MOD(A7,2),LOOKUP(E45,AK:AN),LOOKUP(E45,AU:AX)),IF(C27&gt;2,LOOKUP(E45,BE:BH),IF(C27=2,LOOKUP(E45,AU:AX),LOOKUP(E45,AK:AN)))),AI36)</f>
        <v>Mark 7:24-37</v>
      </c>
      <c r="BU45" s="206" t="str">
        <f>IF(ISNUMBER(D43),IF(ISBLANK(BG7),IF(MOD(A7,2),LOOKUP(E45,AK:AO),LOOKUP(E45,AU:AY)),IF(C27&gt;2,LOOKUP(E45,BE:BI),IF(C27=2,LOOKUP(E45,AU:AY),LOOKUP(E45,AK:AO)))),AI36)</f>
        <v>Mark 8:1-10</v>
      </c>
      <c r="BV45" s="206" t="str">
        <f>IF(ISNUMBER(D37),IF(ISBLANK(BG7),IF(MOD(A7,2),LOOKUP(E45,AK:AP),LOOKUP(E45,AU:AZ)),IF(C27&gt;2,LOOKUP(E45,BE:BJ),IF(C27=2,LOOKUP(E45,AU:AZ),LOOKUP(E45,AK:AP)))),AI36)</f>
        <v>Mark 8:11-26</v>
      </c>
      <c r="BW45" s="206" t="str">
        <f>IF(ISNUMBER(D37),IF(ISBLANK(BG7),IF(MOD(A7,2),LOOKUP(E45,AK:AQ),LOOKUP(E45,AU:BA)),IF(C27&gt;2,LOOKUP(E45,BE:BK),IF(C27=2,LOOKUP(E45,AU:BA),LOOKUP(E45,AK:AQ)))),AI36)</f>
        <v>Mark 8:27-9:1</v>
      </c>
      <c r="BX45" s="206" t="str">
        <f>IF(ISNUMBER(D37),IF(ISBLANK(BG7),IF(MOD(A7,2),LOOKUP(E45,AK:AR),LOOKUP(E45,AU:BB)),IF(C27&gt;2,LOOKUP(E45,BE:BL),IF(C27=2,LOOKUP(E45,AU:BB),LOOKUP(E45,AK:AR)))),AI36)</f>
        <v>Mark 9:2-13</v>
      </c>
      <c r="BY45" s="206" t="str">
        <f>IF(ISNUMBER(D37),IF(ISBLANK(BG7),IF(MOD(A7,2),LOOKUP(E45,AK:AS),LOOKUP(E45,AU:BC)),IF(C27&gt;2,LOOKUP(E45,BE:BM),IF(C27=2,LOOKUP(E45,AU:BC),LOOKUP(E45,AK:AS)))),AI36)</f>
        <v>Mark 9:14-29</v>
      </c>
      <c r="BZ45" s="203"/>
      <c r="CA45" s="207"/>
    </row>
    <row r="46" spans="2:79" ht="12.75">
      <c r="B46" s="219"/>
      <c r="C46" s="4"/>
      <c r="D46" s="220" t="str">
        <f>IF(ISTEXT(B10),IF(AI62&gt;4,D7+70),IF(AI62&gt;2,D7+73,"OMIT"))</f>
        <v>OMIT</v>
      </c>
      <c r="E46" s="49">
        <v>38</v>
      </c>
      <c r="F46" s="50" t="s">
        <v>866</v>
      </c>
      <c r="G46" s="51" t="str">
        <f>IF(ISNUMBER(D46),IF(ISBLANK(BG7),IF(MOD(A7,2),LOOKUP(E46,AK:AM),LOOKUP(E46,AU:AW)),IF(C27&gt;2,LOOKUP(E46,BE:BG),IF(C27=2,LOOKUP(E46,AU:AW),LOOKUP(E46,AK:AM)))),AI36)</f>
        <v> -------------</v>
      </c>
      <c r="H46" s="221" t="str">
        <f>IF(ISNUMBER(D46),IF(ISBLANK(BG7),IF(MOD(A7,2),LOOKUP(E46,AK:AN),LOOKUP(E46,AU:AX)),IF(C27&gt;2,LOOKUP(E46,BE:BH),IF(C27=2,LOOKUP(E46,AU:AX),LOOKUP(E46,AK:AN)))),AI36)</f>
        <v> -------------</v>
      </c>
      <c r="I46" s="52" t="str">
        <f>IF(ISNUMBER(D46),IF(ISBLANK(BG7),IF(MOD(A7,2),LOOKUP(E46,AK:AO),LOOKUP(E46,AU:AY)),IF(C27&gt;2,LOOKUP(E46,BE:BI),IF(C27=2,LOOKUP(E46,AU:AY),LOOKUP(E46,AK:AO)))),AI36)</f>
        <v> -------------</v>
      </c>
      <c r="J46" s="52" t="str">
        <f>IF(ISNUMBER(D46),IF(ISBLANK(BG7),IF(MOD(A7,2),LOOKUP(E46,AK:AP),LOOKUP(E46,AU:AZ)),IF(C27&gt;2,LOOKUP(E46,BE:BJ),IF(C27=2,LOOKUP(E46,AU:AZ),LOOKUP(E46,AK:AP)))),AI36)</f>
        <v> -------------</v>
      </c>
      <c r="K46" s="52" t="str">
        <f>IF(ISNUMBER(D46),IF(ISBLANK(BG7),IF(MOD(A7,2),LOOKUP(E46,AK:AQ),LOOKUP(E46,AU:BA)),IF(C27&gt;2,LOOKUP(E46,BE:BK),IF(C27=2,LOOKUP(E46,AU:BA),LOOKUP(E46,AK:AQ)))),AI36)</f>
        <v> -------------</v>
      </c>
      <c r="L46" s="52" t="str">
        <f>IF(ISNUMBER(D46),IF(ISBLANK(BG7),IF(MOD(A7,2),LOOKUP(E46,AK:AR),LOOKUP(E46,AU:BB)),IF(C27&gt;2,LOOKUP(E46,BE:BL),IF(C27=2,LOOKUP(E46,AU:BB),LOOKUP(E46,AK:AR)))),AI36)</f>
        <v> -------------</v>
      </c>
      <c r="M46" s="52" t="str">
        <f>IF(ISNUMBER(D46),IF(ISBLANK(BG7),IF(MOD(A7,2),LOOKUP(E46,AK:AS),LOOKUP(E46,AU:BC)),IF(C27&gt;2,LOOKUP(E46,BE:BM),IF(C27=2,LOOKUP(E46,AU:BC),LOOKUP(E46,AK:AS)))),AI36)</f>
        <v> -------------</v>
      </c>
      <c r="N46" s="55" t="str">
        <f>F46</f>
        <v>5 Epiphany (variable)</v>
      </c>
      <c r="O46" s="109">
        <f>D46</f>
        <v>0</v>
      </c>
      <c r="P46" s="2">
        <v>2042</v>
      </c>
      <c r="Q46" s="2">
        <v>406</v>
      </c>
      <c r="R46" s="59">
        <f>DATE(P46,4,6)</f>
        <v>51962</v>
      </c>
      <c r="S46" s="59"/>
      <c r="T46" s="59"/>
      <c r="X46" s="59"/>
      <c r="Z46" s="12"/>
      <c r="AI46" s="2" t="s">
        <v>867</v>
      </c>
      <c r="AK46" s="2">
        <v>41</v>
      </c>
      <c r="AL46" s="87" t="s">
        <v>868</v>
      </c>
      <c r="AM46" s="88" t="s">
        <v>869</v>
      </c>
      <c r="AN46" s="89" t="s">
        <v>870</v>
      </c>
      <c r="AO46" s="88" t="s">
        <v>871</v>
      </c>
      <c r="AP46" s="89" t="s">
        <v>872</v>
      </c>
      <c r="AQ46" s="88" t="s">
        <v>873</v>
      </c>
      <c r="AR46" s="89" t="s">
        <v>874</v>
      </c>
      <c r="AS46" s="89" t="s">
        <v>875</v>
      </c>
      <c r="AU46" s="2">
        <v>41</v>
      </c>
      <c r="AV46" s="87" t="s">
        <v>868</v>
      </c>
      <c r="AW46" s="90" t="s">
        <v>876</v>
      </c>
      <c r="AX46" s="91" t="s">
        <v>877</v>
      </c>
      <c r="AY46" s="90" t="s">
        <v>878</v>
      </c>
      <c r="AZ46" s="91" t="s">
        <v>879</v>
      </c>
      <c r="BA46" s="90" t="s">
        <v>880</v>
      </c>
      <c r="BB46" s="208" t="s">
        <v>881</v>
      </c>
      <c r="BC46" s="91" t="s">
        <v>882</v>
      </c>
      <c r="BE46" s="2">
        <v>41</v>
      </c>
      <c r="BF46" s="87" t="s">
        <v>868</v>
      </c>
      <c r="BG46" s="68" t="s">
        <v>883</v>
      </c>
      <c r="BH46" s="69" t="s">
        <v>884</v>
      </c>
      <c r="BI46" s="68" t="s">
        <v>885</v>
      </c>
      <c r="BJ46" s="69" t="s">
        <v>886</v>
      </c>
      <c r="BK46" s="69" t="s">
        <v>887</v>
      </c>
      <c r="BL46" s="69" t="s">
        <v>888</v>
      </c>
      <c r="BM46" s="69" t="s">
        <v>889</v>
      </c>
      <c r="BP46" s="222">
        <f>D46</f>
        <v>0</v>
      </c>
      <c r="BQ46" s="209">
        <v>38</v>
      </c>
      <c r="BR46" s="187" t="s">
        <v>866</v>
      </c>
      <c r="BS46" s="223" t="str">
        <f>IF(ISNUMBER(D46),IF(ISBLANK(BG7),IF(MOD(A7,2),LOOKUP(E46,AK:AM),LOOKUP(E46,AU:AW)),IF(C27&gt;2,LOOKUP(E46,BE:BG),IF(C27=2,LOOKUP(E46,AU:AW),LOOKUP(E46,AK:AM)))),AI36)</f>
        <v> -------------</v>
      </c>
      <c r="BT46" s="223" t="str">
        <f>IF(ISNUMBER(D37),IF(ISBLANK(BG7),IF(MOD(A7,2),LOOKUP(E46,AK:AN),LOOKUP(E46,AU:AX)),IF(C27&gt;2,LOOKUP(E46,BE:BH),IF(C27=2,LOOKUP(E46,AU:AX),LOOKUP(E46,AK:AN)))),AI36)</f>
        <v>Isaiah 57:14-21,</v>
      </c>
      <c r="BU46" s="224" t="str">
        <f>IF(ISNUMBER(D43),IF(ISBLANK(BG7),IF(MOD(A7,2),LOOKUP(E46,AK:AO),LOOKUP(E46,AU:AY)),IF(C27&gt;2,LOOKUP(E46,BE:BI),IF(C27=2,LOOKUP(E46,AU:AY),LOOKUP(E46,AK:AO)))),AI36)</f>
        <v>Isaiah 58:1-12,</v>
      </c>
      <c r="BV46" s="224" t="str">
        <f>IF(ISNUMBER(D37),IF(ISBLANK(BG7),IF(MOD(A7,2),LOOKUP(E46,AK:AP),LOOKUP(E46,AU:AZ)),IF(C27&gt;2,LOOKUP(E46,BE:BJ),IF(C27=2,LOOKUP(E46,AU:AZ),LOOKUP(E46,AK:AP)))),AI36)</f>
        <v>Isaiah 59:1-21,</v>
      </c>
      <c r="BW46" s="224" t="str">
        <f>IF(ISNUMBER(D37),IF(ISBLANK(BG7),IF(MOD(A7,2),LOOKUP(E46,AK:AQ),LOOKUP(E46,AU:BA)),IF(C27&gt;2,LOOKUP(E46,BE:BK),IF(C27=2,LOOKUP(E46,AU:BA),LOOKUP(E6,AK:AQ)))),AI36)</f>
        <v>Isaiah 60:1-22,</v>
      </c>
      <c r="BX46" s="224" t="str">
        <f>IF(ISNUMBER(D37),IF(ISBLANK(BG7),IF(MOD(A7,2),LOOKUP(E46,AK:AR),LOOKUP(E46,AU:BB)),IF(C27&gt;2,LOOKUP(E46,BE:BL),IF(C27=2,LOOKUP(E46,AU:BB),LOOKUP(E46,AK:AR)))),AI36)</f>
        <v>Isaiah 61:1-9,</v>
      </c>
      <c r="BY46" s="224" t="str">
        <f>IF(ISNUMBER(D37),IF(ISBLANK(BG7),IF(MOD(A7,2),LOOKUP(E46,AK:AS),LOOKUP(E46,AU:BC)),IF(C27&gt;2,LOOKUP(E46,BE:BM),IF(C27=2,LOOKUP(E46,AU:BC),LOOKUP(E46,AK:AS)))),AI36)</f>
        <v>Isaiah 61:10-62:5,</v>
      </c>
      <c r="BZ46" s="187" t="s">
        <v>866</v>
      </c>
      <c r="CA46" s="211">
        <f>BP46</f>
        <v>0</v>
      </c>
    </row>
    <row r="47" spans="2:79" ht="12.75">
      <c r="B47" s="225"/>
      <c r="C47" s="4"/>
      <c r="D47" s="220"/>
      <c r="E47" s="73">
        <v>39</v>
      </c>
      <c r="F47" s="74"/>
      <c r="G47" s="75" t="str">
        <f>IF(ISNUMBER(D46),IF(ISBLANK(BG7),IF(MOD(A7,2),LOOKUP(E47,AK:AM),LOOKUP(E47,AU:AW)),IF(C27&gt;2,LOOKUP(E47,BE:BG),IF(C27=2,LOOKUP(E47,AU:AW),LOOKUP(E47,AK:AM)))),AI36)</f>
        <v> -------------</v>
      </c>
      <c r="H47" s="117" t="str">
        <f>IF(ISNUMBER(D46),IF(ISBLANK(BG7),IF(MOD(A7,2),LOOKUP(E47,AK:AN),LOOKUP(E47,AU:AX)),IF(C27&gt;2,LOOKUP(E47,BE:BH),IF(C27=2,LOOKUP(E47,AU:AX),LOOKUP(E47,AK:AN)))),AI36)</f>
        <v> -------------</v>
      </c>
      <c r="I47" s="93" t="str">
        <f>IF(ISNUMBER(D46),IF(ISBLANK(BG7),IF(MOD(A7,2),LOOKUP(E47,AK:AO),LOOKUP(E47,AU:AY)),IF(C27&gt;2,LOOKUP(E47,BE:BI),IF(C27=2,LOOKUP(E47,AU:AY),LOOKUP(E47,AK:AO)))),AI36)</f>
        <v> -------------</v>
      </c>
      <c r="J47" s="93" t="str">
        <f>IF(ISNUMBER(D46),IF(ISBLANK(BG7),IF(MOD(A7,2),LOOKUP(E47,AK:AP),LOOKUP(E47,AU:AZ)),IF(C27&gt;2,LOOKUP(E47,BE:BJ),IF(C27=2,LOOKUP(E47,AU:AZ),LOOKUP(E47,AK:AP)))),AI36)</f>
        <v> -------------</v>
      </c>
      <c r="K47" s="93" t="str">
        <f>IF(ISNUMBER(D46),IF(ISBLANK(BG7),IF(MOD(A7,2),LOOKUP(E47,AK:AQ),LOOKUP(E47,AU:BA)),IF(C27&gt;2,LOOKUP(E47,BE:BK),IF(C27=2,LOOKUP(E47,AU:BA),LOOKUP(E47,AK:AQ)))),AI36)</f>
        <v> -------------</v>
      </c>
      <c r="L47" s="93" t="str">
        <f>IF(ISNUMBER(D46),IF(ISBLANK(BG7),IF(MOD(A7,2),LOOKUP(E47,AK:AR),LOOKUP(E47,AU:BB)),IF(C27&gt;2,LOOKUP(E47,BE:BL),IF(C27=2,LOOKUP(E47,AU:BB),LOOKUP(E47,AK:AR)))),AI36)</f>
        <v> -------------</v>
      </c>
      <c r="M47" s="93" t="str">
        <f>IF(ISNUMBER(D46),IF(ISBLANK(BG7),IF(MOD(A7,2),LOOKUP(E47,AK:AS),LOOKUP(E47,AU:BC)),IF(C27&gt;2,LOOKUP(E47,BE:BM),IF(C27=2,LOOKUP(E47,AU:BC),LOOKUP(E47,AK:AS)))),AI36)</f>
        <v> -------------</v>
      </c>
      <c r="N47" s="77"/>
      <c r="O47" s="78"/>
      <c r="P47" s="2">
        <v>2043</v>
      </c>
      <c r="Q47" s="2">
        <v>329</v>
      </c>
      <c r="R47" s="59">
        <f>DATE(P47,3,29)</f>
        <v>52319</v>
      </c>
      <c r="Z47" s="12"/>
      <c r="AB47" s="59"/>
      <c r="AD47" s="59"/>
      <c r="AG47" s="59"/>
      <c r="AH47" s="59"/>
      <c r="AI47" s="213" t="str">
        <f>IF(AI41&lt;AI56,"no","+1")</f>
        <v>no</v>
      </c>
      <c r="AK47" s="2">
        <v>42</v>
      </c>
      <c r="AL47" s="62" t="s">
        <v>890</v>
      </c>
      <c r="AM47" s="63" t="s">
        <v>891</v>
      </c>
      <c r="AN47" s="64" t="s">
        <v>892</v>
      </c>
      <c r="AO47" s="63" t="s">
        <v>893</v>
      </c>
      <c r="AP47" s="64" t="s">
        <v>894</v>
      </c>
      <c r="AQ47" s="63" t="s">
        <v>895</v>
      </c>
      <c r="AR47" s="64" t="s">
        <v>896</v>
      </c>
      <c r="AS47" s="64" t="s">
        <v>897</v>
      </c>
      <c r="AU47" s="2">
        <v>42</v>
      </c>
      <c r="AV47" s="62" t="s">
        <v>890</v>
      </c>
      <c r="AW47" s="66" t="s">
        <v>898</v>
      </c>
      <c r="AX47" s="67" t="s">
        <v>899</v>
      </c>
      <c r="AY47" s="66" t="s">
        <v>900</v>
      </c>
      <c r="AZ47" s="67" t="s">
        <v>505</v>
      </c>
      <c r="BA47" s="67" t="s">
        <v>901</v>
      </c>
      <c r="BB47" s="184" t="s">
        <v>902</v>
      </c>
      <c r="BC47" s="67" t="s">
        <v>903</v>
      </c>
      <c r="BE47" s="2">
        <v>42</v>
      </c>
      <c r="BF47" s="62" t="s">
        <v>890</v>
      </c>
      <c r="BG47" s="68" t="s">
        <v>904</v>
      </c>
      <c r="BH47" s="69" t="s">
        <v>905</v>
      </c>
      <c r="BI47" s="68" t="s">
        <v>906</v>
      </c>
      <c r="BJ47" s="69" t="s">
        <v>907</v>
      </c>
      <c r="BK47" s="69" t="s">
        <v>908</v>
      </c>
      <c r="BL47" s="69" t="s">
        <v>909</v>
      </c>
      <c r="BM47" s="69" t="s">
        <v>910</v>
      </c>
      <c r="BP47" s="222"/>
      <c r="BQ47" s="186">
        <v>39</v>
      </c>
      <c r="BR47" s="194"/>
      <c r="BS47" s="226" t="str">
        <f>IF(ISNUMBER(D46),IF(ISBLANK(BG7),IF(MOD(A7,2),LOOKUP(E47,AK:AM),LOOKUP(E47,AU:AW)),IF(C27&gt;2,LOOKUP(E47,BE:BG),IF(C27=2,LOOKUP(E47,AU:AW),LOOKUP(E47,AK:AM)))),AI36)</f>
        <v> -------------</v>
      </c>
      <c r="BT47" s="226" t="str">
        <f>IF(ISNUMBER(D37),IF(ISBLANK(BG7),IF(MOD(A7,2),LOOKUP(E47,AK:AN),LOOKUP(E47,AU:AX)),IF(C27&gt;2,LOOKUP(E47,BE:BH),IF(C27=2,LOOKUP(E47,AU:AX),LOOKUP(E47,AK:AN)))),AI36)</f>
        <v>Galatians 6:11-18,</v>
      </c>
      <c r="BU47" s="227" t="str">
        <f>IF(ISNUMBER(D43),IF(ISBLANK(BG7),IF(MOD(A7,2),LOOKUP(E47,AK:AO),LOOKUP(E47,AU:AY)),IF(C27&gt;2,LOOKUP(E47,BE:BI),IF(C27=2,LOOKUP(E47,AU:AY),LOOKUP(E47,AK:AO)))),AI36)</f>
        <v>2 Timothy 1:1-14,</v>
      </c>
      <c r="BV47" s="227" t="str">
        <f>IF(ISNUMBER(D37),IF(ISBLANK(BG7),IF(MOD(A7,2),LOOKUP(E47,AK:AP),LOOKUP(E47,AU:AZ)),IF(C27&gt;2,LOOKUP(E47,BE:BJ),IF(C27=2,LOOKUP(E47,AU:AZ),LOOKUP(E47,AK:AP)))),AI36)</f>
        <v>2 Timothy 1:15-2:13,</v>
      </c>
      <c r="BW47" s="227" t="str">
        <f>IF(ISNUMBER(D37),IF(ISBLANK(BG7),IF(MOD(A7,2),LOOKUP(E47,AK:AQ),LOOKUP(E47,AU:BA)),IF(C27&gt;2,LOOKUP(E47,BE:BK),IF(C27=2,LOOKUP(E47,AU:BA),LOOKUP(E47,AK:AQ)))),AI36)</f>
        <v>2 Timothy 2:14-26,</v>
      </c>
      <c r="BX47" s="227" t="str">
        <f>IF(ISNUMBER(D37),IF(ISBLANK(BG7),IF(MOD(A7,2),LOOKUP(E47,AK:AR),LOOKUP(E47,AU:BB)),IF(C27&gt;2,LOOKUP(E47,BE:BL),IF(C27=2,LOOKUP(E47,AU:BB),LOOKUP(E47,AK:AR)))),AI36)</f>
        <v>2 Timothy 3:1-17,</v>
      </c>
      <c r="BY47" s="227" t="str">
        <f>IF(ISNUMBER(D37),IF(ISBLANK(BG7),IF(MOD(A7,2),LOOKUP(E47,AK:AS),LOOKUP(E47,AU:BC)),IF(C27&gt;2,LOOKUP(E47,BE:BM),IF(C27=2,LOOKUP(E47,AU:BC),LOOKUP(E47,AK:AS)))),AI36)</f>
        <v>2 Timothy 4:1-8,</v>
      </c>
      <c r="BZ47" s="194"/>
      <c r="CA47" s="198"/>
    </row>
    <row r="48" spans="2:79" ht="12.75">
      <c r="B48" s="219"/>
      <c r="C48" s="4"/>
      <c r="D48" s="228"/>
      <c r="E48" s="96">
        <v>40</v>
      </c>
      <c r="F48" s="97"/>
      <c r="G48" s="82" t="str">
        <f>IF(ISNUMBER(D46),IF(ISBLANK(BG7),IF(MOD(A7,2),LOOKUP(E48,AK:AM),LOOKUP(E48,AU:AW)),IF(C27&gt;2,LOOKUP(E48,BE:BG),IF(C27=2,LOOKUP(E48,AU:AW),LOOKUP(E48,AK:AM)))),AI36)</f>
        <v> -------------</v>
      </c>
      <c r="H48" s="120" t="str">
        <f>IF(ISNUMBER(D46),IF(ISBLANK(BG7),IF(MOD(A7,2),LOOKUP(E48,AK:AN),LOOKUP(E48,AU:AX)),IF(C27&gt;2,LOOKUP(E48,BE:BH),IF(C27=2,LOOKUP(E48,AU:AX),LOOKUP(E48,AK:AN)))),AI36)</f>
        <v> -------------</v>
      </c>
      <c r="I48" s="83" t="str">
        <f>IF(ISNUMBER(D46),IF(ISBLANK(BG7),IF(MOD(A7,2),LOOKUP(E48,AK:AO),LOOKUP(E48,AU:AY)),IF(C27&gt;2,LOOKUP(E48,BE:BI),IF(C27=2,LOOKUP(E48,AU:AY),LOOKUP(E48,AK:AO)))),AI36)</f>
        <v> -------------</v>
      </c>
      <c r="J48" s="83" t="str">
        <f>IF(ISNUMBER(D46),IF(ISBLANK(BG7),IF(MOD(A7,2),LOOKUP(E48,AK:AP),LOOKUP(E48,AU:AZ)),IF(C27&gt;2,LOOKUP(E48,BE:BJ),IF(C27=2,LOOKUP(E48,AU:AZ),LOOKUP(E48,AK:AP)))),AI36)</f>
        <v> -------------</v>
      </c>
      <c r="K48" s="83" t="str">
        <f>IF(ISNUMBER(D46),IF(ISBLANK(BG7),IF(MOD(A7,2),LOOKUP(E48,AK:AQ),LOOKUP(E48,AU:BA)),IF(C27&gt;2,LOOKUP(E48,BE:BK),IF(C27=2,LOOKUP(E48,AU:BA),LOOKUP(E48,AK:AQ)))),AI36)</f>
        <v> -------------</v>
      </c>
      <c r="L48" s="83" t="str">
        <f>IF(ISNUMBER(D46),IF(ISBLANK(BG7),IF(MOD(A7,2),LOOKUP(E48,AK:AR),LOOKUP(E48,AU:BB)),IF(C27&gt;2,LOOKUP(E48,BE:BL),IF(C27=2,LOOKUP(E48,AU:BB),LOOKUP(E48,AK:AR)))),AI36)</f>
        <v> -------------</v>
      </c>
      <c r="M48" s="83" t="str">
        <f>IF(ISNUMBER(D46),IF(ISBLANK(BG7),IF(MOD(A7,2),LOOKUP(E48,AK:AS),LOOKUP(E48,AU:BC)),IF(C27&gt;2,LOOKUP(E48,BE:BM),IF(C27=2,LOOKUP(E48,AU:BC),LOOKUP(E48,AK:AS)))),AI36)</f>
        <v> -------------</v>
      </c>
      <c r="N48" s="98"/>
      <c r="O48" s="78"/>
      <c r="P48" s="2">
        <v>2044</v>
      </c>
      <c r="Q48" s="2">
        <v>417</v>
      </c>
      <c r="R48" s="59">
        <f>DATE(P48,4,17)</f>
        <v>52704</v>
      </c>
      <c r="S48" s="59"/>
      <c r="T48" s="59"/>
      <c r="X48" s="59"/>
      <c r="Z48" s="12"/>
      <c r="AB48" s="59"/>
      <c r="AD48" s="59"/>
      <c r="AG48" s="59"/>
      <c r="AH48" s="59"/>
      <c r="AK48" s="2">
        <v>43</v>
      </c>
      <c r="AL48" s="100" t="s">
        <v>911</v>
      </c>
      <c r="AM48" s="101" t="s">
        <v>376</v>
      </c>
      <c r="AN48" s="102" t="s">
        <v>912</v>
      </c>
      <c r="AO48" s="101" t="s">
        <v>913</v>
      </c>
      <c r="AP48" s="102" t="s">
        <v>914</v>
      </c>
      <c r="AQ48" s="101" t="s">
        <v>915</v>
      </c>
      <c r="AR48" s="102" t="s">
        <v>916</v>
      </c>
      <c r="AS48" s="102" t="s">
        <v>917</v>
      </c>
      <c r="AU48" s="2">
        <v>43</v>
      </c>
      <c r="AV48" s="100" t="s">
        <v>911</v>
      </c>
      <c r="AW48" s="103" t="s">
        <v>918</v>
      </c>
      <c r="AX48" s="104" t="s">
        <v>919</v>
      </c>
      <c r="AY48" s="103" t="s">
        <v>920</v>
      </c>
      <c r="AZ48" s="104" t="s">
        <v>921</v>
      </c>
      <c r="BA48" s="103" t="s">
        <v>922</v>
      </c>
      <c r="BB48" s="216" t="s">
        <v>923</v>
      </c>
      <c r="BC48" s="104" t="s">
        <v>924</v>
      </c>
      <c r="BE48" s="2">
        <v>43</v>
      </c>
      <c r="BF48" s="100" t="s">
        <v>911</v>
      </c>
      <c r="BG48" s="68" t="s">
        <v>925</v>
      </c>
      <c r="BH48" s="69" t="s">
        <v>926</v>
      </c>
      <c r="BI48" s="68" t="s">
        <v>927</v>
      </c>
      <c r="BJ48" s="69" t="s">
        <v>928</v>
      </c>
      <c r="BK48" s="69" t="s">
        <v>929</v>
      </c>
      <c r="BL48" s="69" t="s">
        <v>930</v>
      </c>
      <c r="BM48" s="69" t="s">
        <v>931</v>
      </c>
      <c r="BP48" s="229"/>
      <c r="BQ48" s="202">
        <v>40</v>
      </c>
      <c r="BR48" s="203"/>
      <c r="BS48" s="230" t="str">
        <f>IF(ISNUMBER(D46),IF(ISBLANK(BG7),IF(MOD(A7,2),LOOKUP(E48,AK:AM),LOOKUP(E48,AU:AW)),IF(C27&gt;2,LOOKUP(E48,BE:BG),IF(C27=2,LOOKUP(E48,AU:AW),LOOKUP(E48,AK:AM)))),AI36)</f>
        <v> -------------</v>
      </c>
      <c r="BT48" s="230" t="str">
        <f>IF(ISNUMBER(D37),IF(ISBLANK(BG7),IF(MOD(A7,2),LOOKUP(E48,AK:AN),LOOKUP(E48,AU:AX)),IF(C27&gt;2,LOOKUP(E48,BE:BH),IF(C27=2,LOOKUP(E48,AU:AX),LOOKUP(E48,AK:AN)))),AI36)</f>
        <v>Mark 9:30-41</v>
      </c>
      <c r="BU48" s="231" t="str">
        <f>IF(ISNUMBER(D43),IF(ISBLANK(BG7),IF(MOD(A7,2),LOOKUP(E48,AK:AO),LOOKUP(E48,AU:AY)),IF(C27&gt;2,LOOKUP(E48,BE:BI),IF(C27=2,LOOKUP(E48,AU:AY),LOOKUP(E48,AK:AO)))),AI36)</f>
        <v>Mark 9:42-50</v>
      </c>
      <c r="BV48" s="231" t="str">
        <f>IF(ISNUMBER(D37),IF(ISBLANK(BG7),IF(MOD(A7,2),LOOKUP(46,AK:AP),LOOKUP(E48,AU:AZ)),IF(C27&gt;2,LOOKUP(E48,BE:BJ),IF(C27=2,LOOKUP(E48,AU:AZ),LOOKUP(E48,AK:AP)))),AI36)</f>
        <v>Matthew 5:21-26</v>
      </c>
      <c r="BW48" s="231" t="str">
        <f>IF(ISNUMBER(D37),IF(ISBLANK(BG7),IF(MOD(A7,2),LOOKUP(E48,AK:AQ),LOOKUP(E48,AU:BA)),IF(C27&gt;2,LOOKUP(E48,BE:BK),IF(C27=2,LOOKUP(E48,AU:BA),LOOKUP(E48,AK:AQ)))),AI36)</f>
        <v>Mark 10:17-31</v>
      </c>
      <c r="BX48" s="231" t="str">
        <f>IF(ISNUMBER(D37),IF(ISBLANK(BG7),IF(MOD(A7,2),LOOKUP(E48,AK:AR),LOOKUP(E48,AU:BB)),IF(C27&gt;2,LOOKUP(E48,BE:BL),IF(C27=2,LOOKUP(E48,AU:BB),LOOKUP(E48,AK:AR)))),AI36)</f>
        <v>Mark 10:32-45</v>
      </c>
      <c r="BY48" s="231" t="str">
        <f>IF(ISNUMBER(D37),IF(ISBLANK(BG7),IF(MOD(A7,2),LOOKUP(E48,AK:AS),LOOKUP(E48,AU:BC)),IF(C27&gt;2,LOOKUP(E48,BE:BM),IF(C27=2,LOOKUP(E48,AU:BC),LOOKUP(E48,AK:AS)))),AI36)</f>
        <v>Mark 10:46-52</v>
      </c>
      <c r="BZ48" s="203"/>
      <c r="CA48" s="198"/>
    </row>
    <row r="49" spans="2:79" ht="12.75">
      <c r="B49" s="219"/>
      <c r="C49" s="4"/>
      <c r="D49" s="220" t="str">
        <f>IF(ISTEXT(B10),IF(AI62&gt;5,D7+77),IF(AI62&gt;5,D7+77,"OMIT"))</f>
        <v>OMIT</v>
      </c>
      <c r="E49" s="49">
        <v>41</v>
      </c>
      <c r="F49" s="232" t="s">
        <v>932</v>
      </c>
      <c r="G49" s="51" t="str">
        <f>IF(ISNUMBER(D49),IF(ISBLANK(BG7),IF(MOD(A7,2),LOOKUP(E49,AK:AM),LOOKUP(E49,AU:AW)),IF(C27&gt;2,LOOKUP(E49,BE:BG),IF(C27=2,LOOKUP(E49,AU:AW),LOOKUP(E49,AK:AM)))),AI36)</f>
        <v> -------------</v>
      </c>
      <c r="H49" s="221" t="str">
        <f>IF(ISNUMBER(D49),IF(ISBLANK(BG7),IF(MOD(A7,2),LOOKUP(E49,AK:AN),LOOKUP(E49,AU:AX)),IF(C27&gt;2,LOOKUP(E49,BE:BH),IF(C27=2,LOOKUP(E49,AU:AX),LOOKUP(E49,AK:AN)))),AI36)</f>
        <v> -------------</v>
      </c>
      <c r="I49" s="52" t="str">
        <f>IF(ISNUMBER(D49),IF(ISBLANK(BG7),IF(MOD(A7,2),LOOKUP(E49,AK:AO),LOOKUP(E49,AU:AY)),IF(C27&gt;2,LOOKUP(E49,BE:BI),IF(C27=2,LOOKUP(E49,AU:AY),LOOKUP(E49,AK:AO)))),AI36)</f>
        <v> -------------</v>
      </c>
      <c r="J49" s="52" t="str">
        <f>IF(ISNUMBER(D49),IF(ISBLANK(BG7),IF(MOD(A7,2),LOOKUP(E49,AK:AP),LOOKUP(E49,AU:AZ)),IF(C27&gt;2,LOOKUP(E49,BE:BJ),IF(C27=2,LOOKUP(E49,AU:AZ),LOOKUP(E49,AK:AP)))),AI36)</f>
        <v> -------------</v>
      </c>
      <c r="K49" s="52" t="str">
        <f>IF(ISNUMBER(D49),IF(ISBLANK(BG7),IF(MOD(A7,2),LOOKUP(E49,AK:AQ),LOOKUP(E49,AU:BA)),IF(C27&gt;2,LOOKUP(E49,BE:BK),IF(C27=2,LOOKUP(E49,AU:BA),LOOKUP(E49,AK:AQ)))),AI36)</f>
        <v> -------------</v>
      </c>
      <c r="L49" s="52" t="str">
        <f>IF(ISNUMBER(D49),IF(ISBLANK(BG7),IF(MOD(A7,2),LOOKUP(E49,AK:AR),LOOKUP(E49,AU:BB)),IF(C27&gt;2,LOOKUP(E49,BE:BL),IF(C27=2,LOOKUP(E49,AU:BB),LOOKUP(E49,AK:AR)))),AI36)</f>
        <v> -------------</v>
      </c>
      <c r="M49" s="52" t="str">
        <f>IF(ISNUMBER(D49),IF(ISBLANK(BG7),IF(MOD(A7,2),LOOKUP(E49,AK:AS),LOOKUP(E49,AU:BC)),IF(C27&gt;2,LOOKUP(E49,BE:BM),IF(C27=2,LOOKUP(E49,AU:BC),LOOKUP(E49,AK:AS)))),AI36)</f>
        <v> -------------</v>
      </c>
      <c r="N49" s="55" t="str">
        <f>F49</f>
        <v>6 Epiphany (variable)</v>
      </c>
      <c r="O49" s="56" t="str">
        <f>D49</f>
        <v>OMIT</v>
      </c>
      <c r="P49" s="2">
        <v>2045</v>
      </c>
      <c r="Q49" s="2">
        <v>409</v>
      </c>
      <c r="R49" s="59">
        <f>DATE(P49,4,9)</f>
        <v>53061</v>
      </c>
      <c r="S49" s="59"/>
      <c r="T49" s="59"/>
      <c r="X49" s="59"/>
      <c r="Z49" s="12"/>
      <c r="AI49" s="2" t="s">
        <v>933</v>
      </c>
      <c r="AK49" s="2">
        <v>44</v>
      </c>
      <c r="AL49" s="62" t="s">
        <v>934</v>
      </c>
      <c r="AM49" s="63" t="s">
        <v>935</v>
      </c>
      <c r="AN49" s="64" t="s">
        <v>936</v>
      </c>
      <c r="AO49" s="63" t="s">
        <v>937</v>
      </c>
      <c r="AP49" s="64" t="s">
        <v>938</v>
      </c>
      <c r="AQ49" s="63" t="s">
        <v>939</v>
      </c>
      <c r="AR49" s="64" t="s">
        <v>940</v>
      </c>
      <c r="AS49" s="64" t="s">
        <v>941</v>
      </c>
      <c r="AU49" s="2">
        <v>44</v>
      </c>
      <c r="AV49" s="62" t="s">
        <v>934</v>
      </c>
      <c r="AW49" s="66" t="s">
        <v>942</v>
      </c>
      <c r="AX49" s="67" t="s">
        <v>943</v>
      </c>
      <c r="AY49" s="66" t="s">
        <v>944</v>
      </c>
      <c r="AZ49" s="67" t="s">
        <v>945</v>
      </c>
      <c r="BA49" s="67" t="s">
        <v>946</v>
      </c>
      <c r="BB49" s="184" t="s">
        <v>947</v>
      </c>
      <c r="BC49" s="67" t="s">
        <v>948</v>
      </c>
      <c r="BE49" s="2">
        <v>44</v>
      </c>
      <c r="BF49" s="62" t="s">
        <v>934</v>
      </c>
      <c r="BG49" s="68" t="s">
        <v>949</v>
      </c>
      <c r="BH49" s="69" t="s">
        <v>950</v>
      </c>
      <c r="BI49" s="68" t="s">
        <v>951</v>
      </c>
      <c r="BJ49" s="69" t="s">
        <v>952</v>
      </c>
      <c r="BK49" s="69" t="s">
        <v>953</v>
      </c>
      <c r="BL49" s="69" t="s">
        <v>954</v>
      </c>
      <c r="BM49" s="69" t="s">
        <v>955</v>
      </c>
      <c r="BP49" s="222" t="str">
        <f>D49</f>
        <v>OMIT</v>
      </c>
      <c r="BQ49" s="209">
        <v>41</v>
      </c>
      <c r="BR49" s="187" t="s">
        <v>932</v>
      </c>
      <c r="BS49" s="223" t="str">
        <f>IF(ISNUMBER(D49),IF(ISBLANK(BG7),IF(MOD(A7,2),LOOKUP(E49,AK:AM),LOOKUP(E49,AU:AW)),IF(C27&gt;2,LOOKUP(E49,BE:BG),IF(C27=2,LOOKUP(E49,AU:AW),LOOKUP(E49,AK:AM)))),AI36)</f>
        <v> -------------</v>
      </c>
      <c r="BT49" s="223" t="str">
        <f>IF(ISNUMBER(D37),IF(ISBLANK(BG7),IF(MOD(A7,2),LOOKUP(E49,AK:AN),LOOKUP(E49,AU:AX)),IF(C27&gt;2,LOOKUP(E49,BE:BH),IF(C27=2,LOOKUP(E49,AU:AX),LOOKUP(E49,AK:AN)))),AI36)</f>
        <v>Isaiah 63:1-6,</v>
      </c>
      <c r="BU49" s="224" t="str">
        <f>IF(ISNUMBER(D43),IF(ISBLANK(BG7),IF(MOD(A7,2),LOOKUP(E49,AK:AO),LOOKUP(E49,AU:AY)),IF(C27&gt;2,LOOKUP(E49,BE:BI),IF(C27=2,LOOKUP(E49,AU:AY),LOOKUP(E49,AK:AO)))),AI36)</f>
        <v>Isaiah 63:7-14,</v>
      </c>
      <c r="BV49" s="224" t="str">
        <f>IF(ISNUMBER(D37),IF(ISBLANK(BG7),IF(MOD(A7,2),LOOKUP(E49,AK:AP),LOOKUP(E49,AU:AZ)),IF(C27&gt;2,LOOKUP(E49,BE:BJ),IF(C27=2,LOOKUP(E49,AU:AZ),LOOKUP(E49,AK:AP)))),AI36)</f>
        <v>Isaiah 63:15-64:9,</v>
      </c>
      <c r="BW49" s="224" t="str">
        <f>IF(ISNUMBER(D37),IF(ISBLANK(BG7),IF(MOD(A7,2),LOOKUP(E49,AK:AQ),LOOKUP(E49,AU:BA)),IF(C27&gt;2,LOOKUP(E49,BE:BK),IF(C27=2,LOOKUP(E49,AU:BA),LOOKUP(E49,AK:AQ)))),AI36)</f>
        <v>Isaiah 65:1-12,</v>
      </c>
      <c r="BX49" s="224" t="str">
        <f>IF(ISNUMBER(D37),IF(ISBLANK(BG7),IF(MOD(A7,2),LOOKUP(E49,AK:AR),LOOKUP(E49,AU:BB)),IF(C27&gt;2,LOOKUP(E49,BE:BL),IF(C27=2,LOOKUP(E49,AU:BB),LOOKUP(E49,AK:AR)))),AI36)</f>
        <v>Isaiah 665:17-25,</v>
      </c>
      <c r="BY49" s="224" t="str">
        <f>IF(ISNUMBER(D37),IF(ISBLANK(BG7),IF(MOD(A7,2),LOOKUP(E49,AK:AS),LOOKUP(E49,AU:BC)),IF(C27&gt;2,LOOKUP(E49,BE:BM),IF(C27=2,LOOKUP(E49,AU:BC),LOOKUP(E49,AK:AS)))),AI36)</f>
        <v>Isaiah 66:1-6,</v>
      </c>
      <c r="BZ49" s="187" t="s">
        <v>932</v>
      </c>
      <c r="CA49" s="191" t="str">
        <f>BP49</f>
        <v>OMIT</v>
      </c>
    </row>
    <row r="50" spans="2:79" ht="12.75">
      <c r="B50" s="225"/>
      <c r="C50" s="4"/>
      <c r="D50" s="138"/>
      <c r="E50" s="73">
        <v>42</v>
      </c>
      <c r="F50" s="233"/>
      <c r="G50" s="75" t="str">
        <f>IF(ISNUMBER(D49),IF(ISBLANK(BG7),IF(MOD(A7,2),LOOKUP(E50,AK:AM),LOOKUP(E50,AU:AW)),IF(C27&gt;2,LOOKUP(E50,BE:BG),IF(C27=2,LOOKUP(E50,AU:AW),LOOKUP(E50,AK:AM)))),AI36)</f>
        <v> -------------</v>
      </c>
      <c r="H50" s="117" t="str">
        <f>IF(ISNUMBER(D49),IF(ISBLANK(BG7),IF(MOD(A7,2),LOOKUP(E50,AK:AN),LOOKUP(E50,AU:AX)),IF(C27&gt;2,LOOKUP(E50,BE:BH),IF(C27=2,LOOKUP(E50,AU:AX),LOOKUP(E50,AK:AN)))),AI36)</f>
        <v> -------------</v>
      </c>
      <c r="I50" s="93" t="str">
        <f>IF(ISNUMBER(D49),IF(ISBLANK(BG7),IF(MOD(A7,2),LOOKUP(E50,AK:AO),LOOKUP(E50,AU:AY)),IF(C27&gt;2,LOOKUP(E50,BE:BI),IF(C27=2,LOOKUP(E50,AU:AY),LOOKUP(E50,AK:AO)))),AI36)</f>
        <v> -------------</v>
      </c>
      <c r="J50" s="93" t="str">
        <f>IF(ISNUMBER(D49),IF(ISBLANK(BG7),IF(MOD(A7,2),LOOKUP(E50,AK:AP),LOOKUP(E50,AU:AZ)),IF(C27&gt;2,LOOKUP(E50,BE:BJ),IF(C27=2,LOOKUP(E50,AU:AZ),LOOKUP(E50,AK:AP)))),AI36)</f>
        <v> -------------</v>
      </c>
      <c r="K50" s="93" t="str">
        <f>IF(ISNUMBER(D49),IF(ISBLANK(BG7),IF(MOD(A7,2),LOOKUP(E50,AK:AQ),LOOKUP(E50,AU:BA)),IF(C27&gt;2,LOOKUP(E50,BE:BK),IF(C27=2,LOOKUP(E50,AU:BA),LOOKUP(E50,AK:AQ)))),AI36)</f>
        <v> -------------</v>
      </c>
      <c r="L50" s="93" t="str">
        <f>IF(ISNUMBER(D49),IF(ISBLANK(BG7),IF(MOD(A7,2),LOOKUP(E50,AK:AR),LOOKUP(E50,AU:BB)),IF(C27&gt;2,LOOKUP(E50,BE:BL),IF(C27=2,LOOKUP(E50,AU:BB),LOOKUP(E50,AK:AR)))),AI36)</f>
        <v> -------------</v>
      </c>
      <c r="M50" s="93" t="str">
        <f>IF(ISNUMBER(D49),IF(ISBLANK(BG7),IF(MOD(A7,2),LOOKUP(E50,AK:AS),LOOKUP(E50,AU:BC)),IF(C27&gt;2,LOOKUP(E50,BE:BM),IF(C27=2,LOOKUP(E50,AU:BC),LOOKUP(E50,AK:AS)))),AI36)</f>
        <v> -------------</v>
      </c>
      <c r="N50" s="77"/>
      <c r="O50" s="78"/>
      <c r="P50" s="2">
        <v>2046</v>
      </c>
      <c r="Q50" s="2">
        <v>325</v>
      </c>
      <c r="R50" s="59">
        <f>DATE(P50,3,25)</f>
        <v>53411</v>
      </c>
      <c r="Z50" s="12"/>
      <c r="AB50" s="59"/>
      <c r="AD50" s="59"/>
      <c r="AG50" s="59"/>
      <c r="AH50" s="59"/>
      <c r="AI50" s="44">
        <f>LOOKUP(B13,S6:V152)</f>
        <v>2</v>
      </c>
      <c r="AK50" s="2">
        <v>45</v>
      </c>
      <c r="AL50" s="62" t="s">
        <v>956</v>
      </c>
      <c r="AM50" s="63" t="s">
        <v>957</v>
      </c>
      <c r="AN50" s="64" t="s">
        <v>958</v>
      </c>
      <c r="AO50" s="63" t="s">
        <v>959</v>
      </c>
      <c r="AP50" s="64" t="s">
        <v>960</v>
      </c>
      <c r="AQ50" s="63" t="s">
        <v>961</v>
      </c>
      <c r="AR50" s="64" t="s">
        <v>962</v>
      </c>
      <c r="AS50" s="64" t="s">
        <v>963</v>
      </c>
      <c r="AU50" s="2">
        <v>45</v>
      </c>
      <c r="AV50" s="62" t="s">
        <v>956</v>
      </c>
      <c r="AW50" s="66" t="s">
        <v>964</v>
      </c>
      <c r="AX50" s="67" t="s">
        <v>965</v>
      </c>
      <c r="AY50" s="66" t="s">
        <v>966</v>
      </c>
      <c r="AZ50" s="67" t="s">
        <v>355</v>
      </c>
      <c r="BA50" s="67" t="s">
        <v>967</v>
      </c>
      <c r="BB50" s="184" t="s">
        <v>968</v>
      </c>
      <c r="BC50" s="67" t="s">
        <v>827</v>
      </c>
      <c r="BE50" s="2">
        <v>45</v>
      </c>
      <c r="BF50" s="62" t="s">
        <v>956</v>
      </c>
      <c r="BG50" s="68" t="s">
        <v>969</v>
      </c>
      <c r="BH50" s="69" t="s">
        <v>970</v>
      </c>
      <c r="BI50" s="68" t="s">
        <v>971</v>
      </c>
      <c r="BJ50" s="69" t="s">
        <v>972</v>
      </c>
      <c r="BK50" s="69" t="s">
        <v>973</v>
      </c>
      <c r="BL50" s="69" t="s">
        <v>974</v>
      </c>
      <c r="BM50" s="69" t="s">
        <v>975</v>
      </c>
      <c r="BP50" s="185"/>
      <c r="BQ50" s="186">
        <v>42</v>
      </c>
      <c r="BR50" s="194"/>
      <c r="BS50" s="226" t="str">
        <f>IF(ISNUMBER(D49),IF(ISBLANK(BG7),IF(MOD(A7,2),LOOKUP(E50,AK:AM),LOOKUP(E50,AU:AW)),IF(C27&gt;2,LOOKUP(E50,BE:BG),IF(C27=2,LOOKUP(E50,AU:AW),LOOKUP(E50,AK:AM)))),AI36)</f>
        <v> -------------</v>
      </c>
      <c r="BT50" s="226" t="str">
        <f>IF(ISNUMBER(D37),IF(ISBLANK(BG7),IF(MOD(A7,2),LOOKUP(E50,AK:AN),LOOKUP(E50,AU:AX)),IF(C27&gt;2,LOOKUP(E50,BE:BH),IF(C27=2,LOOKUP(E50,AU:AX),LOOKUP(E50,AK:AN)))),AI36)</f>
        <v>1 Timothy 1:1-17,</v>
      </c>
      <c r="BU50" s="227" t="str">
        <f>IF(ISNUMBER(D43),IF(ISBLANK(BG7),IF(MOD(A7,2),LOOKUP(E50,AK:AO),LOOKUP(E50,AU:AY)),IF(C27&gt;2,LOOKUP(E50,BE:BI),IF(C27=2,LOOKUP(E50,AU:AY),LOOKUP(E50,AK:AO)))),AI36)</f>
        <v>1 Timothy 1:18-2:8 (9-15),</v>
      </c>
      <c r="BV50" s="227" t="str">
        <f>IF(ISNUMBER(D37),IF(ISBLANK(BG7),IF(MOD(A7,2),LOOKUP(E50,AK:AP),LOOKUP(E50,AU:AZ)),IF(C27&gt;2,LOOKUP(E50,BE:BJ),IF(C27=2,LOOKUP(E50,AU:AZ),LOOKUP(E50,AK:AP)))),AI36)</f>
        <v>1 Timothy 3:1-16,</v>
      </c>
      <c r="BW50" s="227" t="str">
        <f>IF(ISNUMBER(D37),IF(ISBLANK(BG7),IF(MOD(A7,2),LOOKUP(E50,AK:AQ),LOOKUP(E50,AU:BA)),IF(C27&gt;2,LOOKUP(E50,BE:BK),IF(C27=2,LOOKUP(E50,AU:BA),LOOKUP(E50,AK:AQ)))),AI36)</f>
        <v>1 Timothy 4:1-16,</v>
      </c>
      <c r="BX50" s="227" t="str">
        <f>IF(ISNUMBER(D37),IF(ISBLANK(BG7),IF(MOD(A7,2),LOOKUP(E50,AK:AR),LOOKUP(E50,AU:BB)),IF(C27&gt;2,LOOKUP(E50,BE:BL),IF(C27=2,LOOKUP(E50,AU:BB),LOOKUP(E50,AK:AR)))),AI36)</f>
        <v>1 Timothy 5:(1-16 )17-22,</v>
      </c>
      <c r="BY50" s="227" t="str">
        <f>IF(ISNUMBER(D37),IF(ISBLANK(BG7),IF(MOD(A7,2),LOOKUP(E50,AK:AS),LOOKUP(E50,AU:BC)),IF(C27&gt;2,LOOKUP(E50,BE:BM),IF(C27=2,LOOKUP(E50,AU:BC),LOOKUP(E50,AK:AS)))),AI36)</f>
        <v>1 Timothy 6:(1-5) 6-21,</v>
      </c>
      <c r="BZ50" s="194"/>
      <c r="CA50" s="198"/>
    </row>
    <row r="51" spans="2:79" ht="12.75">
      <c r="B51" s="225"/>
      <c r="C51" s="4"/>
      <c r="D51" s="152"/>
      <c r="E51" s="96">
        <v>43</v>
      </c>
      <c r="F51" s="234"/>
      <c r="G51" s="82" t="str">
        <f>IF(ISNUMBER(D49),IF(ISBLANK(BG7),IF(MOD(A7,2),LOOKUP(E51,AK:AM),LOOKUP(E51,AU:AW)),IF(C27&gt;2,LOOKUP(E51,BE:BG),IF(C27=2,LOOKUP(E51,AU:AW),LOOKUP(E51,AK:AM)))),AI36)</f>
        <v> -------------</v>
      </c>
      <c r="H51" s="120" t="str">
        <f>IF(ISNUMBER(D49),IF(ISBLANK(BG7),IF(MOD(A7,2),LOOKUP(E51,AK:AN),LOOKUP(E51,AU:AX)),IF(C27&gt;2,LOOKUP(E51,BE:BH),IF(C27=2,LOOKUP(E51,AU:AX),LOOKUP(E51,AK:AN)))),AI36)</f>
        <v> -------------</v>
      </c>
      <c r="I51" s="83" t="str">
        <f>IF(ISNUMBER(D49),IF(ISBLANK(BG7),IF(MOD(A7,2),LOOKUP(E51,AK:AO),LOOKUP(E51,AU:AY)),IF(C27&gt;2,LOOKUP(E51,BE:BI),IF(C27=2,LOOKUP(E51,AU:AY),LOOKUP(E51,AK:AO)))),AI36)</f>
        <v> -------------</v>
      </c>
      <c r="J51" s="83" t="str">
        <f>IF(ISNUMBER(D49),IF(ISBLANK(BG7),IF(MOD(A7,2),LOOKUP(E51,AK:AP),LOOKUP(E51,AU:AZ)),IF(C27&gt;2,LOOKUP(E51,BE:BJ),IF(C27=2,LOOKUP(E51,AU:AZ),LOOKUP(E51,AK:AP)))),AI36)</f>
        <v> -------------</v>
      </c>
      <c r="K51" s="83" t="str">
        <f>IF(ISNUMBER(D49),IF(ISBLANK(BG7),IF(MOD(A7,2),LOOKUP(E51,AK:AQ),LOOKUP(E51,AU:BA)),IF(C27&gt;2,LOOKUP(E51,BE:BK),IF(C27=2,LOOKUP(E51,AU:BA),LOOKUP(E51,AK:AQ)))),AI36)</f>
        <v> -------------</v>
      </c>
      <c r="L51" s="83" t="str">
        <f>IF(ISNUMBER(D49),IF(ISBLANK(BG7),IF(MOD(A7,2),LOOKUP(E51,AK:AR),LOOKUP(E51,AU:BB)),IF(C27&gt;2,LOOKUP(E51,BE:BL),IF(C27=2,LOOKUP(E51,AU:BB),LOOKUP(E51,AK:AR)))),AI36)</f>
        <v> -------------</v>
      </c>
      <c r="M51" s="83" t="str">
        <f>IF(ISNUMBER(D49),IF(ISBLANK(BG7),IF(MOD(A7,2),LOOKUP(E51,AK:AS),LOOKUP(E51,AU:BC)),IF(C27&gt;2,LOOKUP(E51,BE:BM),IF(C27=2,LOOKUP(E51,AU:BC),LOOKUP(E51,AK:AS)))),AI36)</f>
        <v> -------------</v>
      </c>
      <c r="N51" s="98"/>
      <c r="O51" s="99"/>
      <c r="P51" s="2">
        <v>2047</v>
      </c>
      <c r="Q51" s="2">
        <v>414</v>
      </c>
      <c r="R51" s="59">
        <f>DATE(P51,4,14)</f>
        <v>53796</v>
      </c>
      <c r="S51" s="59"/>
      <c r="T51" s="59"/>
      <c r="X51" s="59"/>
      <c r="Z51" s="12"/>
      <c r="AB51" s="59"/>
      <c r="AD51" s="59"/>
      <c r="AG51" s="59"/>
      <c r="AH51" s="59"/>
      <c r="AK51" s="2">
        <v>46</v>
      </c>
      <c r="AL51" s="62" t="s">
        <v>976</v>
      </c>
      <c r="AM51" s="63" t="s">
        <v>977</v>
      </c>
      <c r="AN51" s="64" t="s">
        <v>978</v>
      </c>
      <c r="AO51" s="63" t="s">
        <v>979</v>
      </c>
      <c r="AP51" s="64" t="s">
        <v>980</v>
      </c>
      <c r="AQ51" s="63" t="s">
        <v>981</v>
      </c>
      <c r="AR51" s="64" t="s">
        <v>982</v>
      </c>
      <c r="AS51" s="64" t="s">
        <v>983</v>
      </c>
      <c r="AU51" s="2">
        <v>46</v>
      </c>
      <c r="AV51" s="62" t="s">
        <v>976</v>
      </c>
      <c r="AW51" s="66" t="s">
        <v>984</v>
      </c>
      <c r="AX51" s="67" t="s">
        <v>985</v>
      </c>
      <c r="AY51" s="66" t="s">
        <v>986</v>
      </c>
      <c r="AZ51" s="67" t="s">
        <v>987</v>
      </c>
      <c r="BA51" s="67" t="s">
        <v>988</v>
      </c>
      <c r="BB51" s="184" t="s">
        <v>989</v>
      </c>
      <c r="BC51" s="67" t="s">
        <v>990</v>
      </c>
      <c r="BE51" s="2">
        <v>46</v>
      </c>
      <c r="BF51" s="62" t="s">
        <v>976</v>
      </c>
      <c r="BG51" s="68" t="s">
        <v>991</v>
      </c>
      <c r="BH51" s="69" t="s">
        <v>992</v>
      </c>
      <c r="BI51" s="68" t="s">
        <v>993</v>
      </c>
      <c r="BJ51" s="69" t="s">
        <v>994</v>
      </c>
      <c r="BK51" s="69" t="s">
        <v>995</v>
      </c>
      <c r="BL51" s="69" t="s">
        <v>996</v>
      </c>
      <c r="BM51" s="69" t="s">
        <v>997</v>
      </c>
      <c r="BP51" s="235"/>
      <c r="BQ51" s="202">
        <v>43</v>
      </c>
      <c r="BR51" s="203"/>
      <c r="BS51" s="230" t="str">
        <f>IF(ISNUMBER(D49),IF(ISBLANK(BG7),IF(MOD(A7,2),LOOKUP(E51,AK:AM),LOOKUP(E51,AU:AW)),IF(C27&gt;2,LOOKUP(E51,BE:BG),IF(C27=2,LOOKUP(E51,AU:AW),LOOKUP(E51,AK:AM)))),AI36)</f>
        <v> -------------</v>
      </c>
      <c r="BT51" s="230" t="str">
        <f>IF(ISNUMBER(D37),IF(ISBLANK(BG7),IF(MOD(A7,2),LOOKUP(E51,AK:AN),LOOKUP(E51,AU:AX)),IF(C27&gt;2,LOOKUP(E51,BE:BH),IF(C27=2,LOOKUP(E51,AU:AX),LOOKUP(E51,AK:AN)))),AI36)</f>
        <v>Mark 11:1-11</v>
      </c>
      <c r="BU51" s="231" t="str">
        <f>IF(ISNUMBER(D43),IF(ISBLANK(BG7),IF(MOD(A7,2),LOOKUP(E51,AK:AO),LOOKUP(E51,AU:AY)),IF(C27&gt;2,LOOKUP(E51,BE:BI),IF(C27=2,LOOKUP(E51,AU:AY),LOOKUP(E51,AK:AO)))),AI36)</f>
        <v>Mark 11:12-26</v>
      </c>
      <c r="BV51" s="231" t="str">
        <f>IF(ISNUMBER(D37),IF(ISBLANK(BG7),IF(MOD(A7,2),LOOKUP(E51,AK:AP),LOOKUP(E51,AU:AZ)),IF(C27&gt;2,LOOKUP(E51,BE:BJ),IF(C27=2,LOOKUP(E51,AU:AZ),LOOKUP(E51,AK:AP)))),AI36)</f>
        <v>Mark 11:27-12:12</v>
      </c>
      <c r="BW51" s="231" t="str">
        <f>IF(ISNUMBER(D37),IF(ISBLANK(BG7),IF(MOD(A7,2),LOOKUP(E51,AK:AQ),LOOKUP(E51,AU:BA)),IF(C27&gt;2,LOOKUP(E51,BE:BK),IF(C27=2,LOOKUP(E51,AU:BA),LOOKUP(E51,AK:AQ)))),AI36)</f>
        <v>Mark 12:13-27</v>
      </c>
      <c r="BX51" s="231" t="str">
        <f>IF(ISNUMBER(D37),IF(ISBLANK(BG7),IF(MOD(A7,2),LOOKUP(E51,AK:AR),LOOKUP(E51,AU:BB)),IF(C27&gt;2,LOOKUP(E51,BE:BL),IF(C27=2,LOOKUP(E51,AU:BB),LOOKUP(E51,AK:AR)))),AI36)</f>
        <v>Mark 12:28-34</v>
      </c>
      <c r="BY51" s="231" t="str">
        <f>IF(ISNUMBER(D37),IF(ISBLANK(BG7),IF(MOD(A7,2),LOOKUP(E51,AK:AS),LOOKUP(E51,AU:BC)),IF(C27&gt;2,LOOKUP(E51,BE:BM),IF(C27=2,LOOKUP(E51,AU:BC),LOOKUP(E51,AK:AS)))),AI36)</f>
        <v>Mark 12: 35-44</v>
      </c>
      <c r="BZ51" s="203"/>
      <c r="CA51" s="207"/>
    </row>
    <row r="52" spans="2:79" ht="12.75">
      <c r="B52" s="225"/>
      <c r="C52" s="4"/>
      <c r="D52" s="138" t="str">
        <f>IF(ISTEXT(B10),B16,IF(AI62&gt;4,D58-14,"OMIT"))</f>
        <v>OMIT</v>
      </c>
      <c r="E52" s="49">
        <v>44</v>
      </c>
      <c r="F52" s="232" t="str">
        <f>IF(ISTEXT(B10),"Septuaguesima","7 Epiphany (variable)")</f>
        <v>7 Epiphany (variable)</v>
      </c>
      <c r="G52" s="175" t="str">
        <f>IF(ISNUMBER(D52),IF(ISBLANK(BG7),IF(MOD(A7,2),LOOKUP(E52,AK:AM),LOOKUP(E52,AU:AW)),IF(C27&gt;2,LOOKUP(E52,BE:BG),IF(C27=2,LOOKUP(E52,AU:AW),LOOKUP(E52,AK:AM)))),AI36)</f>
        <v> -------------</v>
      </c>
      <c r="H52" s="115" t="str">
        <f>IF(ISNUMBER(D52),IF(ISBLANK(BG7),IF(MOD(A7,2),LOOKUP(E52,AK:AN),LOOKUP(E52,AU:AX)),IF(C27&gt;2,LOOKUP(E52,BE:BH),IF(C27=2,LOOKUP(E52,AU:AX),LOOKUP(E52,AK:AN)))),AI36)</f>
        <v> -------------</v>
      </c>
      <c r="I52" s="115" t="str">
        <f>IF(ISNUMBER(D52),IF(ISBLANK(BG7),IF(MOD(A7,2),LOOKUP(E52,AK:AO),LOOKUP(E52,AU:AY)),IF(C27&gt;2,LOOKUP(E52,BE:BI),IF(C27=2,LOOKUP(E52,AU:AY),LOOKUP(E52,AK:AO)))),AI36)</f>
        <v> -------------</v>
      </c>
      <c r="J52" s="115" t="str">
        <f>IF(ISNUMBER(D52),IF(ISBLANK(BG7),IF(MOD(A7,2),LOOKUP(E52,AK:AP),LOOKUP(E52,AU:AZ)),IF(C27&gt;2,LOOKUP(E52,BE:BJ),IF(C27=2,LOOKUP(E52,AU:AZ),LOOKUP(E52,AK:AP)))),AI36)</f>
        <v> -------------</v>
      </c>
      <c r="K52" s="176" t="str">
        <f>IF(ISNUMBER(D52),IF(ISBLANK(BG7),IF(MOD(A7,2),LOOKUP(E52,AK:AQ),LOOKUP(E52,AU:BA)),IF(C27&gt;2,LOOKUP(E52,BE:BK),IF(C27=2,LOOKUP(E52,AU:BA),LOOKUP(E52,AK:AQ)))),AI36)</f>
        <v> -------------</v>
      </c>
      <c r="L52" s="115" t="str">
        <f>IF(ISNUMBER(D52),IF(ISBLANK(BG7),IF(MOD(A7,2),LOOKUP(E52,AK:AR),LOOKUP(E52,AU:BB)),IF(C27&gt;2,LOOKUP(E52,BE:BL),IF(C27=2,LOOKUP(E52,AU:BB),LOOKUP(E52,AK:AR)))),AI36)</f>
        <v> -------------</v>
      </c>
      <c r="M52" s="115" t="str">
        <f>IF(ISNUMBER(D52),IF(ISBLANK(BG7),IF(MOD(A7,2),LOOKUP(E52,AK:AS),LOOKUP(E52,AU:BC)),IF(C27&gt;2,LOOKUP(E52,BE:BM),IF(C27=2,LOOKUP(E52,AU:BC),LOOKUP(E52,AK:AS)))),AI36)</f>
        <v> -------------</v>
      </c>
      <c r="N52" s="236" t="str">
        <f>F52</f>
        <v>7 Epiphany (variable)</v>
      </c>
      <c r="O52" s="109">
        <f>D52</f>
        <v>0</v>
      </c>
      <c r="P52" s="2">
        <v>2048</v>
      </c>
      <c r="Q52" s="2">
        <v>405</v>
      </c>
      <c r="R52" s="59">
        <f>DATE(P52,4,5)</f>
        <v>54153</v>
      </c>
      <c r="S52" s="59"/>
      <c r="T52" s="59"/>
      <c r="X52" s="59"/>
      <c r="Z52" s="12"/>
      <c r="AI52" s="2" t="s">
        <v>998</v>
      </c>
      <c r="AK52" s="2">
        <v>47</v>
      </c>
      <c r="AL52" s="87" t="s">
        <v>999</v>
      </c>
      <c r="AM52" s="88" t="s">
        <v>1000</v>
      </c>
      <c r="AN52" s="89" t="s">
        <v>1001</v>
      </c>
      <c r="AO52" s="88" t="s">
        <v>1002</v>
      </c>
      <c r="AP52" s="89" t="s">
        <v>1003</v>
      </c>
      <c r="AQ52" s="88" t="s">
        <v>1004</v>
      </c>
      <c r="AR52" s="89" t="s">
        <v>1005</v>
      </c>
      <c r="AS52" s="89" t="s">
        <v>1006</v>
      </c>
      <c r="AU52" s="2">
        <v>47</v>
      </c>
      <c r="AV52" s="87" t="s">
        <v>999</v>
      </c>
      <c r="AW52" s="90" t="s">
        <v>1007</v>
      </c>
      <c r="AX52" s="91" t="s">
        <v>1008</v>
      </c>
      <c r="AY52" s="90" t="s">
        <v>1009</v>
      </c>
      <c r="AZ52" s="91" t="s">
        <v>1010</v>
      </c>
      <c r="BA52" s="90" t="s">
        <v>1011</v>
      </c>
      <c r="BB52" s="208" t="s">
        <v>1012</v>
      </c>
      <c r="BC52" s="91" t="s">
        <v>1013</v>
      </c>
      <c r="BE52" s="2">
        <v>47</v>
      </c>
      <c r="BF52" s="87" t="s">
        <v>999</v>
      </c>
      <c r="BG52" s="68" t="s">
        <v>1014</v>
      </c>
      <c r="BH52" s="69" t="s">
        <v>1015</v>
      </c>
      <c r="BI52" s="68" t="s">
        <v>1016</v>
      </c>
      <c r="BJ52" s="69" t="s">
        <v>1017</v>
      </c>
      <c r="BK52" s="69" t="s">
        <v>1018</v>
      </c>
      <c r="BL52" s="69" t="s">
        <v>1019</v>
      </c>
      <c r="BM52" s="69" t="s">
        <v>1020</v>
      </c>
      <c r="BP52" s="185">
        <f>D52</f>
        <v>0</v>
      </c>
      <c r="BQ52" s="209">
        <v>44</v>
      </c>
      <c r="BR52" s="187" t="s">
        <v>1021</v>
      </c>
      <c r="BS52" s="223" t="str">
        <f>IF(ISNUMBER(D52),IF(ISBLANK(BG7),IF(MOD(A7,2),LOOKUP(E52,AK:AM),LOOKUP(E52,AU:AW)),IF(C27&gt;2,LOOKUP(E52,BE:BG),IF(C27=2,LOOKUP(E52,AU:AW),LOOKUP(E52,AK:AM)))),AI36)</f>
        <v> -------------</v>
      </c>
      <c r="BT52" s="223" t="str">
        <f>IF(ISNUMBER(D52),IF(ISBLANK(BG7),IF(MOD(A7,2),LOOKUP(E52,AK:AN),LOOKUP(E52,AU:AX)),IF(C27&gt;2,LOOKUP(E52,BE:BH),IF(C27=2,LOOKUP(E52,AU:AX),LOOKUP(E52,AK:AN)))),AI36)</f>
        <v> -------------</v>
      </c>
      <c r="BU52" s="224" t="str">
        <f>IF(ISNUMBER(D52),IF(ISBLANK(BG7),IF(MOD(A7,2),LOOKUP(E52,AK:AO),LOOKUP(E52,AU:AY)),IF(C27&gt;2,LOOKUP(E52,BE:BI),IF(C27=2,LOOKUP(E52,AU:AY),LOOKUP(E52,AK:AO)))),AI36)</f>
        <v> -------------</v>
      </c>
      <c r="BV52" s="224" t="str">
        <f>IF(ISNUMBER(D52),IF(ISBLANK(BG7),IF(MOD(A7,2),LOOKUP(E52,AK:AP),LOOKUP(E52,AU:AZ)),IF(C27&gt;2,LOOKUP(E52,BE:BJ),IF(C27=2,LOOKUP(E52,AU:AZ),LOOKUP(E52,AK:AP)))),AI36)</f>
        <v> -------------</v>
      </c>
      <c r="BW52" s="237" t="str">
        <f>IF(ISNUMBER(D52),IF(ISBLANK(BG7),IF(MOD(A7,2),LOOKUP(E52,AK:AQ),LOOKUP(E52,AU:BA)),IF(C27&gt;2,LOOKUP(E52,BE:BK),IF(C27=2,LOOKUP(E52,AU:BA),LOOKUP(E52,AK:AQ)))),AI36)</f>
        <v> -------------</v>
      </c>
      <c r="BX52" s="224" t="str">
        <f>IF(ISNUMBER(D52),IF(ISBLANK(BG7),IF(MOD(A7,2),LOOKUP(E52,AK:AR),LOOKUP(E52,AU:BB)),IF(C27&gt;2,LOOKUP(E52,BE:BL),IF(C27=2,LOOKUP(E52,AU:BB),LOOKUP(E52,AK:AR)))),AI36)</f>
        <v> -------------</v>
      </c>
      <c r="BY52" s="224" t="str">
        <f>IF(ISNUMBER(D52),IF(ISBLANK(BG7),IF(MOD(A7,2),LOOKUP(E52,AK:AS),LOOKUP(E52,AU:BC)),IF(C27&gt;2,LOOKUP(E52,BE:BM),IF(C27=2,LOOKUP(E52,AU:BC),LOOKUP(E52,AK:AS)))),AI36)</f>
        <v> -------------</v>
      </c>
      <c r="BZ52" s="187" t="s">
        <v>1022</v>
      </c>
      <c r="CA52" s="211">
        <f>BP52</f>
        <v>0</v>
      </c>
    </row>
    <row r="53" spans="2:79" ht="12.75">
      <c r="B53" s="225"/>
      <c r="C53" s="4"/>
      <c r="D53" s="138"/>
      <c r="E53" s="73">
        <v>45</v>
      </c>
      <c r="F53" s="233"/>
      <c r="G53" s="177" t="str">
        <f>IF(ISNUMBER(D52),IF(ISBLANK(BG7),IF(MOD(A7,2),LOOKUP(E53,AK:AM),LOOKUP(E53,AU:AW)),IF(C27&gt;2,LOOKUP(E53,BE:BG),IF(C27=2,LOOKUP(E53,AU:AW),LOOKUP(E53,AK:AM)))),AI36)</f>
        <v> -------------</v>
      </c>
      <c r="H53" s="118" t="str">
        <f>IF(ISNUMBER(D52),IF(ISBLANK(BG7),IF(MOD(A7,2),LOOKUP(E53,AK:AN),LOOKUP(E53,AU:AX)),IF(C27&gt;2,LOOKUP(E53,BE:BH),IF(C27=2,LOOKUP(E53,AU:AX),LOOKUP(E53,AK:AN)))),AI36)</f>
        <v> -------------</v>
      </c>
      <c r="I53" s="118" t="str">
        <f>IF(ISNUMBER(D52),IF(ISBLANK(BG7),IF(MOD(A7,2),LOOKUP(E53,AK:AO),LOOKUP(E53,AU:AY)),IF(C27&gt;2,LOOKUP(E53,BE:BI),IF(C27=2,LOOKUP(E53,AU:AY),LOOKUP(E53,AK:AO)))),AI36)</f>
        <v> -------------</v>
      </c>
      <c r="J53" s="118" t="str">
        <f>IF(ISNUMBER(D52),IF(ISBLANK(BG7),IF(MOD(A7,2),LOOKUP(E53,AK:AP),LOOKUP(E53,AU:AZ)),IF(C27&gt;2,LOOKUP(E53,BE:BJ),IF(C27=2,LOOKUP(E53,AU:AZ),LOOKUP(E53,AK:AP)))),AI36)</f>
        <v> -------------</v>
      </c>
      <c r="K53" s="118" t="str">
        <f>IF(ISNUMBER(D52),IF(ISBLANK(BG7),IF(MOD(A7,2),LOOKUP(E53,AK:AQ),LOOKUP(E53,AU:BA)),IF(C27&gt;2,LOOKUP(E53,BE:BK),IF(C27=2,LOOKUP(E53,AU:BA),LOOKUP(E53,AK:AQ)))),AI36)</f>
        <v> -------------</v>
      </c>
      <c r="L53" s="118" t="str">
        <f>IF(ISNUMBER(D52),IF(ISBLANK(BG7),IF(MOD(A7,2),LOOKUP(E53,AK:AR),LOOKUP(E53,AU:BB)),IF(C27&gt;2,LOOKUP(E53,BE:BL),IF(C27=2,LOOKUP(E53,AU:BB),LOOKUP(E53,AK:AR)))),AI36)</f>
        <v> -------------</v>
      </c>
      <c r="M53" s="118" t="str">
        <f>IF(ISNUMBER(D52),IF(ISBLANK(BG7),IF(MOD(A7,2),LOOKUP(E53,AK:AS),LOOKUP(E53,AU:BC)),IF(C27&gt;2,LOOKUP(E53,BE:BM),IF(C27=2,LOOKUP(E53,AU:BC),LOOKUP(E53,AK:AS)))),AI36)</f>
        <v> -------------</v>
      </c>
      <c r="N53" s="238"/>
      <c r="O53" s="78"/>
      <c r="P53" s="2">
        <v>2049</v>
      </c>
      <c r="Q53" s="2">
        <v>418</v>
      </c>
      <c r="R53" s="59">
        <f>DATE(P53,4,18)</f>
        <v>54531</v>
      </c>
      <c r="Z53" s="12"/>
      <c r="AB53" s="59"/>
      <c r="AD53" s="59"/>
      <c r="AG53" s="59"/>
      <c r="AH53" s="59"/>
      <c r="AI53" s="59">
        <f>LOOKUP(A7,P6:R85)</f>
        <v>41364</v>
      </c>
      <c r="AK53" s="2">
        <v>48</v>
      </c>
      <c r="AL53" s="62" t="s">
        <v>1023</v>
      </c>
      <c r="AM53" s="63" t="s">
        <v>831</v>
      </c>
      <c r="AN53" s="64" t="s">
        <v>1024</v>
      </c>
      <c r="AO53" s="63" t="s">
        <v>1025</v>
      </c>
      <c r="AP53" s="64" t="s">
        <v>1026</v>
      </c>
      <c r="AQ53" s="63" t="s">
        <v>1027</v>
      </c>
      <c r="AR53" s="64" t="s">
        <v>1028</v>
      </c>
      <c r="AS53" s="64" t="s">
        <v>1029</v>
      </c>
      <c r="AU53" s="2">
        <v>48</v>
      </c>
      <c r="AV53" s="62" t="s">
        <v>1023</v>
      </c>
      <c r="AW53" s="66" t="s">
        <v>1030</v>
      </c>
      <c r="AX53" s="67" t="s">
        <v>828</v>
      </c>
      <c r="AY53" s="66" t="s">
        <v>829</v>
      </c>
      <c r="AZ53" s="67" t="s">
        <v>830</v>
      </c>
      <c r="BA53" s="67" t="s">
        <v>831</v>
      </c>
      <c r="BB53" s="184" t="s">
        <v>1031</v>
      </c>
      <c r="BC53" s="67" t="s">
        <v>1032</v>
      </c>
      <c r="BE53" s="2">
        <v>48</v>
      </c>
      <c r="BF53" s="62" t="s">
        <v>1023</v>
      </c>
      <c r="BG53" s="68" t="s">
        <v>1033</v>
      </c>
      <c r="BH53" s="69" t="s">
        <v>1034</v>
      </c>
      <c r="BI53" s="68" t="s">
        <v>1035</v>
      </c>
      <c r="BJ53" s="69" t="s">
        <v>1036</v>
      </c>
      <c r="BK53" s="69" t="s">
        <v>1037</v>
      </c>
      <c r="BL53" s="69" t="s">
        <v>1038</v>
      </c>
      <c r="BM53" s="69" t="s">
        <v>1039</v>
      </c>
      <c r="BP53" s="185"/>
      <c r="BQ53" s="186">
        <v>45</v>
      </c>
      <c r="BR53" s="194"/>
      <c r="BS53" s="226" t="str">
        <f>IF(ISNUMBER(D52),IF(ISBLANK(BG7),IF(MOD(A7,2),LOOKUP(E53,AK:AM),LOOKUP(E53,AU:AW)),IF(C27&gt;2,LOOKUP(E53,BE:BG),IF(C27=2,LOOKUP(E53,AU:AW),LOOKUP(E53,AK:AM)))),AI36)</f>
        <v> -------------</v>
      </c>
      <c r="BT53" s="226" t="str">
        <f>IF(ISNUMBER(D52),IF(ISBLANK(BG7),IF(MOD(A7,2),LOOKUP(E53,AK:AN),LOOKUP(E53,AU:AX)),IF(C27&gt;2,LOOKUP(E53,BE:BH),IF(C27=2,LOOKUP(E53,AU:AX),LOOKUP(E53,AK:AN)))),AI36)</f>
        <v> -------------</v>
      </c>
      <c r="BU53" s="227" t="str">
        <f>IF(ISNUMBER(D52),IF(ISBLANK(BG7),IF(MOD(A7,2),LOOKUP(E53,AK:AO),LOOKUP(E53,AU:AY)),IF(C27&gt;2,LOOKUP(E53,BE:BI),IF(C27=2,LOOKUP(E53,AU:AY),LOOKUP(E53,AK:AO)))),AI36)</f>
        <v> -------------</v>
      </c>
      <c r="BV53" s="227" t="str">
        <f>IF(ISNUMBER(D52),IF(ISBLANK(BG7),IF(MOD(A7,2),LOOKUP(E53,AK:AP),LOOKUP(E53,AU:AZ)),IF(C27&gt;2,LOOKUP(E53,BE:BJ),IF(C27=2,LOOKUP(E53,AU:AZ),LOOKUP(E53,AK:AP)))),AI36)</f>
        <v> -------------</v>
      </c>
      <c r="BW53" s="227" t="str">
        <f>IF(ISNUMBER(D52),IF(ISBLANK(BG7),IF(MOD(A7,2),LOOKUP(E53,AK:AQ),LOOKUP(E53,AU:BA)),IF(C27&gt;2,LOOKUP(E53,BE:BK),IF(C27=2,LOOKUP(E53,AU:BA),LOOKUP(E53,AK:AQ)))),AI36)</f>
        <v> -------------</v>
      </c>
      <c r="BX53" s="227" t="str">
        <f>IF(ISNUMBER(D52),IF(ISBLANK(BG7),IF(MOD(A7,2),LOOKUP(E53,AK:AR),LOOKUP(E53,AU:BB)),IF(C27&gt;2,LOOKUP(E53,BE:BL),IF(C27=2,LOOKUP(E53,AU:BB),LOOKUP(E53,AK:AR)))),AI36)</f>
        <v> -------------</v>
      </c>
      <c r="BY53" s="227" t="str">
        <f>IF(ISNUMBER(D52),IF(ISBLANK(BG7),IF(MOD(A7,2),LOOKUP(E53,AK:AS),LOOKUP(E53,AU:BC)),IF(C27&gt;2,LOOKUP(E53,BE:BM),IF(C27=2,LOOKUP(E53,AU:BC),LOOKUP(E53,AK:AS)))),AI36)</f>
        <v> -------------</v>
      </c>
      <c r="BZ53" s="194"/>
      <c r="CA53" s="198"/>
    </row>
    <row r="54" spans="2:79" ht="12.75">
      <c r="B54" s="225"/>
      <c r="C54" s="4"/>
      <c r="D54" s="152"/>
      <c r="E54" s="96">
        <v>46</v>
      </c>
      <c r="F54" s="234"/>
      <c r="G54" s="179" t="str">
        <f>IF(ISNUMBER(D52),IF(ISBLANK(BG7),IF(MOD(A7,2),LOOKUP(E54,AK:AM),LOOKUP(E54,AU:AW)),IF(C27&gt;2,LOOKUP(E54,BE:BG),IF(C27=2,LOOKUP(E54,AU:AW),LOOKUP(E54,AK:AM)))),AI36)</f>
        <v> -------------</v>
      </c>
      <c r="H54" s="121" t="str">
        <f>IF(ISNUMBER(D52),IF(ISBLANK(BG7),IF(MOD(A7,2),LOOKUP(E54,AK:AN),LOOKUP(E54,AU:AX)),IF(C27&gt;2,LOOKUP(E54,BE:BH),IF(C27=2,LOOKUP(E54,AU:AX),LOOKUP(E54,AK:AN)))),AI36)</f>
        <v> -------------</v>
      </c>
      <c r="I54" s="121" t="str">
        <f>IF(ISNUMBER(D52),IF(ISBLANK(BG7),IF(MOD(A7,2),LOOKUP(E54,AK:AO),LOOKUP(E54,AU:AY)),IF(C27&gt;2,LOOKUP(E54,BE:BI),IF(C27=2,LOOKUP(E54,AU:AY),LOOKUP(E54,AK:AO)))),AI36)</f>
        <v> -------------</v>
      </c>
      <c r="J54" s="121" t="str">
        <f>IF(ISNUMBER(D52),IF(ISBLANK(BG7),IF(MOD(A7,2),LOOKUP(E54,AK:AP),LOOKUP(E54,AU:AZ)),IF(C27&gt;2,LOOKUP(E54,BE:BJ),IF(C27=2,LOOKUP(E54,AU:AZ),LOOKUP(E54,AK:AP)))),AI36)</f>
        <v> -------------</v>
      </c>
      <c r="K54" s="121" t="str">
        <f>IF(ISNUMBER(D52),IF(ISBLANK(BG7),IF(MOD(A7,2),LOOKUP(E54,AK:AQ),LOOKUP(E54,AU:BA)),IF(C27&gt;2,LOOKUP(E54,BE:BK),IF(C27=2,LOOKUP(E54,AU:BA),LOOKUP(E54,AK:AQ)))),AI36)</f>
        <v> -------------</v>
      </c>
      <c r="L54" s="121" t="str">
        <f>IF(ISNUMBER(D52),IF(ISBLANK(BG7),IF(MOD(A7,2),LOOKUP(E54,AK:AR),LOOKUP(E54,AU:BB)),IF(C27&gt;2,LOOKUP(E54,BE:BL),IF(C27=2,LOOKUP(E54,AU:BB),LOOKUP(E54,AK:AR)))),AI36)</f>
        <v> -------------</v>
      </c>
      <c r="M54" s="121" t="str">
        <f>IF(ISNUMBER(D52),IF(ISBLANK(BG7),IF(MOD(A7,2),LOOKUP(E54,AK:AS),LOOKUP(E54,AU:BC)),IF(C27&gt;2,LOOKUP(E54,BE:BM),IF(C27=2,LOOKUP(E54,AU:BC),LOOKUP(E54,AK:AS)))),AI36)</f>
        <v> -------------</v>
      </c>
      <c r="N54" s="239"/>
      <c r="O54" s="78"/>
      <c r="P54" s="2">
        <v>2050</v>
      </c>
      <c r="Q54" s="2">
        <v>410</v>
      </c>
      <c r="R54" s="59">
        <f>DATE(P54,4,10)</f>
        <v>54888</v>
      </c>
      <c r="S54" s="59"/>
      <c r="T54" s="59"/>
      <c r="X54" s="59"/>
      <c r="Z54" s="12"/>
      <c r="AB54" s="59"/>
      <c r="AD54" s="59"/>
      <c r="AG54" s="59"/>
      <c r="AH54" s="59"/>
      <c r="AK54" s="2">
        <v>49</v>
      </c>
      <c r="AL54" s="100" t="s">
        <v>1040</v>
      </c>
      <c r="AM54" s="101" t="s">
        <v>1041</v>
      </c>
      <c r="AN54" s="102" t="s">
        <v>1042</v>
      </c>
      <c r="AO54" s="101" t="s">
        <v>1043</v>
      </c>
      <c r="AP54" s="102" t="s">
        <v>1044</v>
      </c>
      <c r="AQ54" s="101" t="s">
        <v>1045</v>
      </c>
      <c r="AR54" s="102" t="s">
        <v>1046</v>
      </c>
      <c r="AS54" s="102" t="s">
        <v>1047</v>
      </c>
      <c r="AU54" s="2">
        <v>49</v>
      </c>
      <c r="AV54" s="100" t="s">
        <v>1040</v>
      </c>
      <c r="AW54" s="103" t="s">
        <v>853</v>
      </c>
      <c r="AX54" s="104" t="s">
        <v>1048</v>
      </c>
      <c r="AY54" s="103" t="s">
        <v>1049</v>
      </c>
      <c r="AZ54" s="104" t="s">
        <v>1050</v>
      </c>
      <c r="BA54" s="103" t="s">
        <v>1051</v>
      </c>
      <c r="BB54" s="216" t="s">
        <v>1052</v>
      </c>
      <c r="BC54" s="104" t="s">
        <v>1053</v>
      </c>
      <c r="BE54" s="2">
        <v>49</v>
      </c>
      <c r="BF54" s="100" t="s">
        <v>1040</v>
      </c>
      <c r="BG54" s="68" t="s">
        <v>1054</v>
      </c>
      <c r="BH54" s="69" t="s">
        <v>1055</v>
      </c>
      <c r="BI54" s="68" t="s">
        <v>1056</v>
      </c>
      <c r="BJ54" s="69" t="s">
        <v>1057</v>
      </c>
      <c r="BK54" s="69" t="s">
        <v>1058</v>
      </c>
      <c r="BL54" s="69" t="s">
        <v>1059</v>
      </c>
      <c r="BM54" s="69" t="s">
        <v>1060</v>
      </c>
      <c r="BP54" s="235"/>
      <c r="BQ54" s="202">
        <v>46</v>
      </c>
      <c r="BR54" s="203"/>
      <c r="BS54" s="230" t="str">
        <f>IF(ISNUMBER(D52),IF(ISBLANK(BG7),IF(MOD(A7,2),LOOKUP(E54,AK:AM),LOOKUP(E54,AU:AW)),IF(C27&gt;2,LOOKUP(E54,BE:BG),IF(C27=2,LOOKUP(E54,AU:AW),LOOKUP(E54,AK:AM)))),AI36)</f>
        <v> -------------</v>
      </c>
      <c r="BT54" s="230" t="str">
        <f>IF(ISNUMBER(D52),IF(ISBLANK(BG7),IF(MOD(A7,2),LOOKUP(E54,AK:AN),LOOKUP(E54,AU:AX)),IF(C27&gt;2,LOOKUP(E54,BE:BH),IF(C27=2,LOOKUP(E54,AU:AX),LOOKUP(E54,AK:AN)))),AI36)</f>
        <v> -------------</v>
      </c>
      <c r="BU54" s="231" t="str">
        <f>IF(ISNUMBER(D52),IF(ISBLANK(BG7),IF(MOD(A7,2),LOOKUP(E54,AK:AO),LOOKUP(E54,AU:AY)),IF(C27&gt;2,LOOKUP(E54,BE:BI),IF(C27=2,LOOKUP(E54,AU:AY),LOOKUP(E54,AK:AO)))),AI36)</f>
        <v> -------------</v>
      </c>
      <c r="BV54" s="231" t="str">
        <f>IF(ISNUMBER(D52),IF(ISBLANK(BG7),IF(MOD(A7,2),LOOKUP(E54,AK:AP),LOOKUP(E54,AU:AZ)),IF(C27&gt;2,LOOKUP(E54,BE:BJ),IF(C27=2,LOOKUP(E54,AU:AZ),LOOKUP(E54,AK:AP)))),AI36)</f>
        <v> -------------</v>
      </c>
      <c r="BW54" s="231" t="str">
        <f>IF(ISNUMBER(D52),IF(ISBLANK(BG7),IF(MOD(A7,2),LOOKUP(E54,AK:AQ),LOOKUP(E54,AU:BA)),IF(C27&gt;2,LOOKUP(E54,BE:BK),IF(C27=2,LOOKUP(E54,AU:BA),LOOKUP(E54,AK:AQ)))),AI36)</f>
        <v> -------------</v>
      </c>
      <c r="BX54" s="231" t="str">
        <f>IF(ISNUMBER(D52),IF(ISBLANK(BG7),IF(MOD(A7,2),LOOKUP(E54,AK:AR),LOOKUP(E54,AU:BB)),IF(C27&gt;2,LOOKUP(E54,BE:BL),IF(C27=2,LOOKUP(E54,AU:BB),LOOKUP(E54,AK:AR)))),AI36)</f>
        <v> -------------</v>
      </c>
      <c r="BY54" s="231" t="str">
        <f>IF(ISNUMBER(D52),IF(ISBLANK(BG7),IF(MOD(A7,2),LOOKUP(E54,AK:AS),LOOKUP(E54,AU:BC)),IF(C27&gt;2,LOOKUP(E54,BE:BM),IF(C27=2,LOOKUP(E54,AU:BC),LOOKUP(E54,AK:AS)))),AI36)</f>
        <v> -------------</v>
      </c>
      <c r="BZ54" s="203"/>
      <c r="CA54" s="198"/>
    </row>
    <row r="55" spans="2:79" ht="12.75">
      <c r="B55" s="225"/>
      <c r="C55" s="4"/>
      <c r="D55" s="138" t="str">
        <f>IF(ISTEXT(B10),B16+7,IF(AI62&gt;5,D58-7,"OMIT"))</f>
        <v>OMIT</v>
      </c>
      <c r="E55" s="49">
        <v>47</v>
      </c>
      <c r="F55" s="232" t="str">
        <f>IF(ISTEXT(B10),"Sexaguisema","8 Epiphany (variable)")</f>
        <v>8 Epiphany (variable)</v>
      </c>
      <c r="G55" s="175" t="str">
        <f>IF(ISNUMBER(D55),IF(ISBLANK(BG7),IF(MOD(A7,2),LOOKUP(E55,AK:AM),LOOKUP(E55,AU:AW)),IF(C27&gt;2,LOOKUP(E55,BE:BG),IF(C27=2,LOOKUP(E55,AU:AW),LOOKUP(E55,AK:AM)))),AI36)</f>
        <v> -------------</v>
      </c>
      <c r="H55" s="115" t="str">
        <f>IF(ISNUMBER(D55),IF(ISBLANK(BG7),IF(MOD(A7,2),LOOKUP(E55,AK:AN),LOOKUP(E55,AU:AX)),IF(C27&gt;2,LOOKUP(E55,BE:BH),IF(C27=2,LOOKUP(E55,AU:AX),LOOKUP(E55,AK:AN)))),AI36)</f>
        <v> -------------</v>
      </c>
      <c r="I55" s="115" t="str">
        <f>IF(ISNUMBER(D55),IF(ISBLANK(BG7),IF(MOD(A7,2),LOOKUP(E55,AK:AO),LOOKUP(E55,AU:AY)),IF(C27&gt;2,LOOKUP(E55,BE:BI),IF(C27=2,LOOKUP(E55,AU:AY),LOOKUP(E55,AK:AO)))),AI36)</f>
        <v> -------------</v>
      </c>
      <c r="J55" s="115" t="str">
        <f>IF(ISNUMBER(D55),IF(ISBLANK(BG7),IF(MOD(A7,2),LOOKUP(E55,AK:AP),LOOKUP(E55,AU:AZ)),IF(C27&gt;2,LOOKUP(E55,BE:BJ),IF(C27=2,LOOKUP(E55,AU:AZ),LOOKUP(E55,AK:AP)))),AI36)</f>
        <v> -------------</v>
      </c>
      <c r="K55" s="115" t="str">
        <f>IF(ISNUMBER(D55),IF(ISBLANK(BG7),IF(MOD(A7,2),LOOKUP(E55,AK:AQ),LOOKUP(E55,AU:BA)),IF(C27&gt;2,LOOKUP(E55,BE:BK),IF(C27=2,LOOKUP(E55,AU:BA),LOOKUP(E55,AK:AQ)))),AI36)</f>
        <v> -------------</v>
      </c>
      <c r="L55" s="115" t="str">
        <f>IF(ISNUMBER(D55),IF(ISBLANK(BG7),IF(MOD(A7,2),LOOKUP(E55,AK:AR),LOOKUP(E55,AU:BB)),IF(C27&gt;2,LOOKUP(E55,BE:BL),IF(C27=2,LOOKUP(E55,AU:BB),LOOKUP(E55,AK:AR)))),AI36)</f>
        <v> -------------</v>
      </c>
      <c r="M55" s="115" t="str">
        <f>IF(ISNUMBER(D55),IF(ISBLANK(BG7),IF(MOD(A7,2),LOOKUP(E55,AK:AS),LOOKUP(E55,AU:BC)),IF(C27&gt;2,LOOKUP(E55,BE:BM),IF(C27=2,LOOKUP(E55,AU:BC),LOOKUP(E55,AK:AS)))),AI36)</f>
        <v> -------------</v>
      </c>
      <c r="N55" s="236" t="str">
        <f>F55</f>
        <v>8 Epiphany (variable)</v>
      </c>
      <c r="O55" s="56" t="str">
        <f>D55</f>
        <v>OMIT</v>
      </c>
      <c r="P55" s="2">
        <v>2051</v>
      </c>
      <c r="Q55" s="2">
        <v>402</v>
      </c>
      <c r="R55" s="59">
        <f>DATE(P55,4,2)</f>
        <v>55245</v>
      </c>
      <c r="Z55" s="12"/>
      <c r="AI55" s="2" t="s">
        <v>1061</v>
      </c>
      <c r="AK55" s="2">
        <v>49.5</v>
      </c>
      <c r="AL55" s="240" t="s">
        <v>14</v>
      </c>
      <c r="AM55" s="89"/>
      <c r="AN55" s="89"/>
      <c r="AO55" s="88"/>
      <c r="AP55" s="241" t="s">
        <v>31</v>
      </c>
      <c r="AQ55" s="88"/>
      <c r="AR55" s="89"/>
      <c r="AS55" s="242"/>
      <c r="AU55" s="2">
        <v>49.5</v>
      </c>
      <c r="AV55" s="240" t="s">
        <v>14</v>
      </c>
      <c r="AW55" s="91"/>
      <c r="AX55" s="90"/>
      <c r="AY55" s="91"/>
      <c r="AZ55" s="243" t="s">
        <v>31</v>
      </c>
      <c r="BA55" s="91"/>
      <c r="BB55" s="90"/>
      <c r="BC55" s="91"/>
      <c r="BE55" s="2">
        <v>49.5</v>
      </c>
      <c r="BF55" s="240" t="s">
        <v>14</v>
      </c>
      <c r="BG55" s="68" t="s">
        <v>1062</v>
      </c>
      <c r="BH55" s="69" t="s">
        <v>1063</v>
      </c>
      <c r="BI55" s="68" t="s">
        <v>1064</v>
      </c>
      <c r="BJ55" s="69" t="s">
        <v>1065</v>
      </c>
      <c r="BK55" s="69" t="s">
        <v>1066</v>
      </c>
      <c r="BL55" s="69" t="s">
        <v>1067</v>
      </c>
      <c r="BM55" s="69" t="s">
        <v>1068</v>
      </c>
      <c r="BP55" s="185" t="str">
        <f>D55</f>
        <v>OMIT</v>
      </c>
      <c r="BQ55" s="209">
        <v>47</v>
      </c>
      <c r="BR55" s="187" t="s">
        <v>1069</v>
      </c>
      <c r="BS55" s="223" t="str">
        <f>IF(ISNUMBER(D55),IF(ISBLANK(BG7),IF(MOD(A7,2),LOOKUP(E55,AK:AM),LOOKUP(E55,AU:AW)),IF(C27&gt;2,LOOKUP(E55,BE:BG),IF(C27=2,LOOKUP(E55,AU:AW),LOOKUP(E55,AK:AM)))),AI36)</f>
        <v> -------------</v>
      </c>
      <c r="BT55" s="223" t="str">
        <f>IF(ISNUMBER(D55),IF(ISBLANK(BG7),IF(MOD(A7,2),LOOKUP(E55,AK:AN),LOOKUP(E55,AU:AX)),IF(C27&gt;2,LOOKUP(E55,BE:BH),IF(C27=2,LOOKUP(E55,AU:AX),LOOKUP(E55,AK:AN)))),AI36)</f>
        <v> -------------</v>
      </c>
      <c r="BU55" s="224" t="str">
        <f>IF(ISNUMBER(D55),IF(ISBLANK(BG7),IF(MOD(A7,2),LOOKUP(E55,AK:AO),LOOKUP(E55,AU:AY)),IF(C27&gt;2,LOOKUP(E55,BE:BI),IF(C27=2,LOOKUP(E55,AU:AY),LOOKUP(E55,AK:AO)))),AI36)</f>
        <v> -------------</v>
      </c>
      <c r="BV55" s="224" t="str">
        <f>IF(ISNUMBER(D55),IF(ISBLANK(BG7),IF(MOD(A7,2),LOOKUP(E55,AK:AP),LOOKUP(E55,AU:AZ)),IF(C27&gt;2,LOOKUP(E55,BE:BJ),IF(C27=2,LOOKUP(E55,AU:AZ),LOOKUP(E55,AK:AP)))),AI36)</f>
        <v> -------------</v>
      </c>
      <c r="BW55" s="224" t="str">
        <f>IF(ISNUMBER(D55),IF(ISBLANK(BG7),IF(MOD(A7,2),LOOKUP(E55,AK:AQ),LOOKUP(E55,AU:BA)),IF(C27&gt;2,LOOKUP(E55,BE:BK),IF(C27=2,LOOKUP(E55,AU:BA),LOOKUP(E55,AK:AQ)))),AI36)</f>
        <v> -------------</v>
      </c>
      <c r="BX55" s="224" t="str">
        <f>IF(ISNUMBER(D55),IF(ISBLANK(BG7),IF(MOD(A7,2),LOOKUP(E55,AK:AR),LOOKUP(E55,AU:BB)),IF(C27&gt;2,LOOKUP(E55,BE:BL),IF(C27=2,LOOKUP(E55,AU:BB),LOOKUP(E55,AK:AR)))),AI36)</f>
        <v> -------------</v>
      </c>
      <c r="BY55" s="224" t="str">
        <f>IF(ISNUMBER(D55),IF(ISBLANK(BG7),IF(MOD(A7,2),LOOKUP(E55,AK:AS),LOOKUP(E55,AU:BC)),IF(C27&gt;2,LOOKUP(E55,BE:BM),IF(C27=2,LOOKUP(E55,AU:BC),LOOKUP(E55,AK:AS)))),AI36)</f>
        <v> -------------</v>
      </c>
      <c r="BZ55" s="187" t="s">
        <v>1069</v>
      </c>
      <c r="CA55" s="191" t="str">
        <f>BP55</f>
        <v>OMIT</v>
      </c>
    </row>
    <row r="56" spans="2:79" ht="12.75">
      <c r="B56" s="225"/>
      <c r="C56" s="4"/>
      <c r="D56" s="138"/>
      <c r="E56" s="73">
        <v>48</v>
      </c>
      <c r="F56" s="233"/>
      <c r="G56" s="177" t="str">
        <f>IF(ISNUMBER(D55),IF(ISBLANK(BG7),IF(MOD(A7,2),LOOKUP(E56,AK:AM),LOOKUP(E56,AU:AW)),IF(C27&gt;2,LOOKUP(E56,BE:BG),IF(C27=2,LOOKUP(E56,AU:AW),LOOKUP(E56,AK:AM)))),AI36)</f>
        <v> -------------</v>
      </c>
      <c r="H56" s="118" t="str">
        <f>IF(ISNUMBER(D55),IF(ISBLANK(BG7),IF(MOD(A7,2),LOOKUP(E56,AK:AN),LOOKUP(E56,AU:AX)),IF(C27&gt;2,LOOKUP(E56,BE:BH),IF(C27=2,LOOKUP(E56,AU:AX),LOOKUP(E56,AK:AN)))),AI36)</f>
        <v> -------------</v>
      </c>
      <c r="I56" s="118" t="str">
        <f>IF(ISNUMBER(D55),IF(ISBLANK(BG7),IF(MOD(A7,2),LOOKUP(E56,AK:AO),LOOKUP(E56,AU:AY)),IF(C27&gt;2,LOOKUP(E56,BE:BI),IF(C27=2,LOOKUP(E56,AU:AY),LOOKUP(E56,AK:AO)))),AI36)</f>
        <v> -------------</v>
      </c>
      <c r="J56" s="118" t="str">
        <f>IF(ISNUMBER(D55),IF(ISBLANK(BG7),IF(MOD(A7,2),LOOKUP(E56,AK:AP),LOOKUP(E56,AU:AZ)),IF(C27&gt;2,LOOKUP(E56,BE:BJ),IF(C27=2,LOOKUP(E56,AU:AZ),LOOKUP(E56,AK:AP)))),AI36)</f>
        <v> -------------</v>
      </c>
      <c r="K56" s="118" t="str">
        <f>IF(ISNUMBER(D55),IF(ISBLANK(BG7),IF(MOD(A7,2),LOOKUP(E56,AK:AQ),LOOKUP(E56,AU:BA)),IF(C27&gt;2,LOOKUP(E56,BE:BK),IF(C27=2,LOOKUP(E56,AU:BA),LOOKUP(E56,AK:AQ)))),AI36)</f>
        <v> -------------</v>
      </c>
      <c r="L56" s="118" t="str">
        <f>IF(ISNUMBER(D55),IF(ISBLANK(BG7),IF(MOD(A7,2),LOOKUP(E56,AK:AR),LOOKUP(E56,AU:BB)),IF(C27&gt;2,LOOKUP(E56,BE:BL),IF(C27=2,LOOKUP(E56,AU:BB),LOOKUP(E56,AK:AR)))),AI36)</f>
        <v> -------------</v>
      </c>
      <c r="M56" s="118" t="str">
        <f>IF(ISNUMBER(D55),IF(ISBLANK(BG7),IF(MOD(A7,2),LOOKUP(E56,AK:AS),LOOKUP(E56,AU:BC)),IF(C27&gt;2,LOOKUP(E56,BE:BM),IF(C27=2,LOOKUP(E56,AU:BC),LOOKUP(E56,AK:AS)))),AI36)</f>
        <v> -------------</v>
      </c>
      <c r="N56" s="238"/>
      <c r="O56" s="78"/>
      <c r="P56" s="2">
        <v>2052</v>
      </c>
      <c r="Q56" s="2">
        <v>421</v>
      </c>
      <c r="R56" s="59">
        <f>DATE(P56,4,21)</f>
        <v>55630</v>
      </c>
      <c r="S56" s="59"/>
      <c r="T56" s="59"/>
      <c r="X56" s="59"/>
      <c r="Z56" s="12"/>
      <c r="AB56" s="59"/>
      <c r="AD56" s="59"/>
      <c r="AG56" s="59"/>
      <c r="AH56" s="59"/>
      <c r="AI56" s="213">
        <f>Z32</f>
        <v>41334</v>
      </c>
      <c r="AK56" s="2">
        <v>50</v>
      </c>
      <c r="AL56" s="65" t="s">
        <v>1070</v>
      </c>
      <c r="AM56" s="64" t="s">
        <v>1071</v>
      </c>
      <c r="AN56" s="64" t="s">
        <v>1072</v>
      </c>
      <c r="AO56" s="63" t="s">
        <v>1073</v>
      </c>
      <c r="AP56" s="64" t="s">
        <v>1074</v>
      </c>
      <c r="AQ56" s="63" t="s">
        <v>1075</v>
      </c>
      <c r="AR56" s="64" t="s">
        <v>1076</v>
      </c>
      <c r="AS56" s="144" t="s">
        <v>1077</v>
      </c>
      <c r="AU56" s="2">
        <v>50</v>
      </c>
      <c r="AV56" s="65" t="s">
        <v>1070</v>
      </c>
      <c r="AW56" s="67" t="s">
        <v>1078</v>
      </c>
      <c r="AX56" s="66" t="s">
        <v>1079</v>
      </c>
      <c r="AY56" s="67" t="s">
        <v>1080</v>
      </c>
      <c r="AZ56" s="66" t="s">
        <v>1081</v>
      </c>
      <c r="BA56" s="67" t="s">
        <v>1082</v>
      </c>
      <c r="BB56" s="66" t="s">
        <v>1083</v>
      </c>
      <c r="BC56" s="67" t="s">
        <v>1084</v>
      </c>
      <c r="BE56" s="2">
        <v>50</v>
      </c>
      <c r="BF56" s="65" t="s">
        <v>1070</v>
      </c>
      <c r="BG56" s="68" t="s">
        <v>1085</v>
      </c>
      <c r="BH56" s="69" t="s">
        <v>1086</v>
      </c>
      <c r="BI56" s="68" t="s">
        <v>1087</v>
      </c>
      <c r="BJ56" s="69" t="s">
        <v>1088</v>
      </c>
      <c r="BK56" s="69" t="s">
        <v>1089</v>
      </c>
      <c r="BL56" s="69" t="s">
        <v>1090</v>
      </c>
      <c r="BM56" s="69" t="s">
        <v>1091</v>
      </c>
      <c r="BP56" s="185"/>
      <c r="BQ56" s="186">
        <v>48</v>
      </c>
      <c r="BR56" s="194"/>
      <c r="BS56" s="226" t="str">
        <f>IF(ISNUMBER(D55),IF(ISBLANK(BG7),IF(MOD(A7,2),LOOKUP(E56,AK:AM),LOOKUP(E56,AU:AW)),IF(C27&gt;2,LOOKUP(E56,BE:BG),IF(C27=2,LOOKUP(E56,AU:AW),LOOKUP(E56,AK:AM)))),AI36)</f>
        <v> -------------</v>
      </c>
      <c r="BT56" s="226" t="str">
        <f>IF(ISNUMBER(D55),IF(ISBLANK(BG7),IF(MOD(A7,2),LOOKUP(E56,AK:AN),LOOKUP(E56,AU:AX)),IF(C27&gt;2,LOOKUP(E56,BE:BH),IF(C27=2,LOOKUP(E56,AU:AX),LOOKUP(E56,AK:AN)))),AI36)</f>
        <v> -------------</v>
      </c>
      <c r="BU56" s="227" t="str">
        <f>IF(ISNUMBER(D55),IF(ISBLANK(BG7),IF(MOD(A7,2),LOOKUP(E56,AK:AO),LOOKUP(E56,AU:AY)),IF(C27&gt;2,LOOKUP(E56,BE:BI),IF(C27=2,LOOKUP(E56,AU:AY),LOOKUP(E56,AK:AO)))),AI36)</f>
        <v> -------------</v>
      </c>
      <c r="BV56" s="227" t="str">
        <f>IF(ISNUMBER(D55),IF(ISBLANK(BG7),IF(MOD(A7,2),LOOKUP(E56,AK:AP),LOOKUP(E56,AU:AZ)),IF(C27&gt;2,LOOKUP(E56,BE:BJ),IF(C27=2,LOOKUP(E56,AU:AZ),LOOKUP(E56,AK:AP)))),AI36)</f>
        <v> -------------</v>
      </c>
      <c r="BW56" s="227" t="str">
        <f>IF(ISNUMBER(D55),IF(ISBLANK(BG7),IF(MOD(A7,2),LOOKUP(E56,AK:AQ),LOOKUP(E56,AU:BA)),IF(C27&gt;2,LOOKUP(E56,BE:BK),IF(C27=2,LOOKUP(E56,AU:BA),LOOKUP(E56,AK:AQ)))),AI36)</f>
        <v> -------------</v>
      </c>
      <c r="BX56" s="227" t="str">
        <f>IF(ISNUMBER(D55),IF(ISBLANK(BG7),IF(MOD(A7,2),LOOKUP(E56,AK:AR),LOOKUP(E56,AU:BB)),IF(C27&gt;2,LOOKUP(E56,BE:BL),IF(C27=2,LOOKUP(E56,AU:BB),LOOKUP(E56,AK:AR)))),AI36)</f>
        <v> -------------</v>
      </c>
      <c r="BY56" s="227" t="str">
        <f>IF(ISNUMBER(D55),IF(ISBLANK(BG7),IF(MOD(A7,2),LOOKUP(E56,AK:AS),LOOKUP(E56,AU:BC)),IF(C27&gt;2,LOOKUP(E56,BE:BM),IF(C27=2,LOOKUP(E56,AU:BC),LOOKUP(E56,AK:AS)))),AI36)</f>
        <v> -------------</v>
      </c>
      <c r="BZ56" s="194"/>
      <c r="CA56" s="198"/>
    </row>
    <row r="57" spans="2:79" ht="12.75">
      <c r="B57" s="219"/>
      <c r="C57" s="4"/>
      <c r="D57" s="152"/>
      <c r="E57" s="96">
        <v>49</v>
      </c>
      <c r="F57" s="234"/>
      <c r="G57" s="179" t="str">
        <f>IF(ISNUMBER(D55),IF(ISBLANK(BG7),IF(MOD(A7,2),LOOKUP(E57,AK:AM),LOOKUP(E57,AU:AW)),IF(C27&gt;2,LOOKUP(E57,BE:BG),IF(C27=2,LOOKUP(E57,AU:AW),LOOKUP(E57,AK:AM)))),AI36)</f>
        <v> -------------</v>
      </c>
      <c r="H57" s="121" t="str">
        <f>IF(ISNUMBER(D55),IF(ISBLANK(BG7),IF(MOD(A7,2),LOOKUP(E57,AK:AN),LOOKUP(E57,AU:AX)),IF(C27&gt;2,LOOKUP(E57,BE:BH),IF(C27=2,LOOKUP(E57,AU:AX),LOOKUP(E57,AK:AN)))),AI36)</f>
        <v> -------------</v>
      </c>
      <c r="I57" s="121" t="str">
        <f>IF(ISNUMBER(D55),IF(ISBLANK(BG7),IF(MOD(A7,2),LOOKUP(E56,AK:AO),LOOKUP(E56,AU:AY)),IF(C27&gt;2,LOOKUP(E56,BE:BI),IF(C27=2,LOOKUP(E56,AU:AY),LOOKUP(E56,AK:AO)))),AI36)</f>
        <v> -------------</v>
      </c>
      <c r="J57" s="121" t="str">
        <f>IF(ISNUMBER(D55),IF(ISBLANK(BG7),IF(MOD(A7,2),LOOKUP(E57,AK:AP),LOOKUP(E57,AU:AZ)),IF(C27&gt;2,LOOKUP(E57,BE:BJ),IF(C27=2,LOOKUP(E57,AU:AZ),LOOKUP(E57,AK:AP)))),AI36)</f>
        <v> -------------</v>
      </c>
      <c r="K57" s="121" t="str">
        <f>IF(ISNUMBER(D55),IF(ISBLANK(BG7),IF(MOD(A7,2),LOOKUP(E57,AK:AQ),LOOKUP(E57,AU:BA)),IF(C27&gt;2,LOOKUP(E57,BE:BK),IF(C27=2,LOOKUP(E57,AU:BA),LOOKUP(E57,AK:AQ)))),AI36)</f>
        <v> -------------</v>
      </c>
      <c r="L57" s="121" t="str">
        <f>IF(ISNUMBER(D55),IF(ISBLANK(BG7),IF(MOD(A7,2),LOOKUP(E57,AK:AR),LOOKUP(E57,AU:BB)),IF(C27&gt;2,LOOKUP(E57,BE:BL),IF(C27=2,LOOKUP(E57,AU:BB),LOOKUP(E57,AK:AR)))),AI36)</f>
        <v> -------------</v>
      </c>
      <c r="M57" s="121" t="str">
        <f>IF(ISNUMBER(D55),IF(ISBLANK(BG7),IF(MOD(A7,2),LOOKUP(E57,AK:AS),LOOKUP(E57,AU:BC)),IF(C27&gt;2,LOOKUP(E57,BE:BM),IF(C27=2,LOOKUP(E57,AU:BC),LOOKUP(E57,AK:AS)))),AI36)</f>
        <v> -------------</v>
      </c>
      <c r="N57" s="239"/>
      <c r="O57" s="99"/>
      <c r="P57" s="2">
        <v>2053</v>
      </c>
      <c r="Q57" s="2">
        <v>406</v>
      </c>
      <c r="R57" s="59">
        <f>DATE(P57,4,6)</f>
        <v>55980</v>
      </c>
      <c r="S57" s="59"/>
      <c r="T57" s="59"/>
      <c r="X57" s="59"/>
      <c r="Z57" s="12"/>
      <c r="AB57" s="59"/>
      <c r="AD57" s="59"/>
      <c r="AG57" s="59"/>
      <c r="AH57" s="59"/>
      <c r="AI57" s="44"/>
      <c r="AK57" s="2">
        <v>51</v>
      </c>
      <c r="AL57" s="65" t="s">
        <v>1092</v>
      </c>
      <c r="AM57" s="64" t="s">
        <v>1093</v>
      </c>
      <c r="AN57" s="64" t="s">
        <v>567</v>
      </c>
      <c r="AO57" s="63" t="s">
        <v>568</v>
      </c>
      <c r="AP57" s="64" t="s">
        <v>1094</v>
      </c>
      <c r="AQ57" s="63" t="s">
        <v>283</v>
      </c>
      <c r="AR57" s="64" t="s">
        <v>1095</v>
      </c>
      <c r="AS57" s="144" t="s">
        <v>1096</v>
      </c>
      <c r="AU57" s="2">
        <v>51</v>
      </c>
      <c r="AV57" s="65" t="s">
        <v>1092</v>
      </c>
      <c r="AW57" s="67" t="s">
        <v>1097</v>
      </c>
      <c r="AX57" s="66" t="s">
        <v>1098</v>
      </c>
      <c r="AY57" s="67" t="s">
        <v>1099</v>
      </c>
      <c r="AZ57" s="66" t="s">
        <v>1094</v>
      </c>
      <c r="BA57" s="67" t="s">
        <v>1100</v>
      </c>
      <c r="BB57" s="66" t="s">
        <v>1101</v>
      </c>
      <c r="BC57" s="67" t="s">
        <v>1102</v>
      </c>
      <c r="BE57" s="2">
        <v>51</v>
      </c>
      <c r="BF57" s="65" t="s">
        <v>1092</v>
      </c>
      <c r="BG57" s="68" t="s">
        <v>1103</v>
      </c>
      <c r="BH57" s="69" t="s">
        <v>1104</v>
      </c>
      <c r="BI57" s="68" t="s">
        <v>1105</v>
      </c>
      <c r="BJ57" s="69" t="s">
        <v>1106</v>
      </c>
      <c r="BK57" s="69" t="s">
        <v>1107</v>
      </c>
      <c r="BL57" s="69" t="s">
        <v>1108</v>
      </c>
      <c r="BM57" s="69" t="s">
        <v>1109</v>
      </c>
      <c r="BP57" s="235"/>
      <c r="BQ57" s="202">
        <v>49</v>
      </c>
      <c r="BR57" s="203"/>
      <c r="BS57" s="230" t="str">
        <f>IF(ISNUMBER(D55),IF(ISBLANK(BG7),IF(MOD(A7,2),LOOKUP(E57,AK:AM),LOOKUP(E57,AU:AW)),IF(C27&gt;2,LOOKUP(E57,BE:BG),IF(C27=2,LOOKUP(E57,AU:AW),LOOKUP(E57,AK:AM)))),AI36)</f>
        <v> -------------</v>
      </c>
      <c r="BT57" s="230" t="str">
        <f>IF(ISNUMBER(D55),IF(ISBLANK(BG7),IF(MOD(A7,2),LOOKUP(E57,AK:AN),LOOKUP(E57,AU:AX)),IF(C27&gt;2,LOOKUP(E57,BE:BH),IF(C27=2,LOOKUP(E57,AU:AX),LOOKUP(E57,AK:AN)))),AI36)</f>
        <v> -------------</v>
      </c>
      <c r="BU57" s="231" t="str">
        <f>IF(ISNUMBER(D55),IF(ISBLANK(BG7),IF(MOD(A7,2),LOOKUP(E57,AK:AO),LOOKUP(E57,AU:AY)),IF(C27&gt;2,LOOKUP(E57,BE:BI),IF(C27=2,LOOKUP(E57,AU:AY),LOOKUP(E57,AK:AO)))),AI36)</f>
        <v> -------------</v>
      </c>
      <c r="BV57" s="231" t="str">
        <f>IF(ISNUMBER(D55),IF(ISBLANK(BG7),IF(MOD(A7,2),LOOKUP(E57,AK:AP),LOOKUP(E57,AU:AZ)),IF(C27&gt;2,LOOKUP(E57,BE:BJ),IF(C27=2,LOOKUP(E57,AU:AZ),LOOKUP(E57,AK:AP)))),AI36)</f>
        <v> -------------</v>
      </c>
      <c r="BW57" s="231" t="str">
        <f>IF(ISNUMBER(D55),IF(ISBLANK(BG7),IF(MOD(A7,2),LOOKUP(E57,AK:AQ),LOOKUP(E57,AU:BA)),IF(C27&gt;2,LOOKUP(E57,BE:BK),IF(C27=2,LOOKUP(E57,AU:BA),LOOKUP(E57,AK:AQ)))),AI36)</f>
        <v> -------------</v>
      </c>
      <c r="BX57" s="231" t="str">
        <f>IF(ISNUMBER(D55),IF(ISBLANK(BG7),IF(MOD(A7,2),LOOKUP(E57,AK:AR),LOOKUP(E57,AU:BB)),IF(C27&gt;2,LOOKUP(E57,BE:BL),IF(C27=2,LOOKUP(E57,AU:BB),LOOKUP(E57,AK:AR)))),AI36)</f>
        <v> -------------</v>
      </c>
      <c r="BY57" s="231" t="str">
        <f>IF(ISNUMBER(D55),IF(ISBLANK(BG7),IF(MOD(A7,2),LOOKUP(E57,AK:AS),LOOKUP(E57,AU:BC)),IF(C27&gt;2,LOOKUP(E57,BE:BM),IF(C27=2,LOOKUP(E57,AU:BC),LOOKUP(E57,AK:AS)))),AI36)</f>
        <v> -------------</v>
      </c>
      <c r="BZ57" s="203"/>
      <c r="CA57" s="207"/>
    </row>
    <row r="58" spans="2:65" ht="12.75">
      <c r="B58" s="219"/>
      <c r="C58" s="4"/>
      <c r="D58" s="138">
        <f>B17-3</f>
        <v>41315</v>
      </c>
      <c r="E58" s="49">
        <v>50</v>
      </c>
      <c r="F58" s="50" t="s">
        <v>1110</v>
      </c>
      <c r="G58" s="221" t="str">
        <f>IF(ISBLANK(BG7),IF(MOD(A7,2),LOOKUP(E58,AK7:AM182),LOOKUP(E58,AU:AW)),IF(C27&gt;2,LOOKUP(E58,BE:BG),IF(C27=2,LOOKUP(E58,AU:AW),LOOKUP(E58,AK:AM))))</f>
        <v>Daniel 7:9-10, 13-14,</v>
      </c>
      <c r="H58" s="52" t="str">
        <f>IF(ISBLANK(BG7),IF(MOD(A7,2),LOOKUP(E58,AK7:AN182),LOOKUP(E58,AU:AX)),IF(C27&gt;2,LOOKUP(E58,BE:BH),IF(C27=2,LOOKUP(E58,AU:AX),LOOKUP(E58,AK:AN))))</f>
        <v>Deuteronomy 6:1-15,</v>
      </c>
      <c r="I58" s="52" t="str">
        <f>IF(ISBLANK(BG7),IF(MOD(A7,2),LOOKUP(E58,AK7:AO182),LOOKUP(E58,AU:AY)),IF(C27&gt;2,LOOKUP(E58,BE:BI),IF(C27=2,LOOKUP(E58,AU:AY),LOOKUP(E58,AK:AO))))</f>
        <v>Deuteronomy 6:16-25,</v>
      </c>
      <c r="J58" s="52" t="str">
        <f>IF(ISBLANK(BG7),IF(MOD(A7,2),LOOKUP(E58,AK7:AP182),LOOKUP(E58,AU:AZ)),IF(C27&gt;2,LOOKUP(E58,BE:BJ),IF(C27=2,LOOKUP(E58,AU:AZ),LOOKUP(E58,AK:AP))))</f>
        <v>Jonah 3:1-4:11,</v>
      </c>
      <c r="K58" s="52" t="str">
        <f>IF(ISBLANK(BG7),IF(MOD(A7,2),LOOKUP(E58,AK7:AQ182),LOOKUP(E58,AU:BA)),IF(C27&gt;2,LOOKUP(E58,BE:BK),IF(C27=2,LOOKUP(E58,AU:BA),LOOKUP(E58,AK:AQ))))</f>
        <v>Deuteronomy 7:6-11,</v>
      </c>
      <c r="L58" s="52" t="str">
        <f>IF(ISBLANK(BG7),IF(MOD(A7,2),LOOKUP(E58,AK7:AR182),LOOKUP(E58,AU:BB)),IF(C27&gt;2,LOOKUP(E58,BE:BL),IF(C27=2,LOOKUP(E58,AU:BB),LOOKUP(E58,AK:AR))))</f>
        <v>Deuteronomy 7:12-16,</v>
      </c>
      <c r="M58" s="52" t="str">
        <f>IF(ISBLANK(BG7),IF(MOD(A7,2),LOOKUP(E58,AK7:AS182),LOOKUP(E58,AU:BC)),IF(C27&gt;2,LOOKUP(E58,BE:BM),IF(C27=2,LOOKUP(E58,AU:BC),LOOKUP(E58,AK:AS))))</f>
        <v>Deuteronomy 7:17-26,</v>
      </c>
      <c r="N58" s="55" t="s">
        <v>1110</v>
      </c>
      <c r="O58" s="109">
        <f>D58</f>
        <v>41315</v>
      </c>
      <c r="P58" s="2">
        <v>2054</v>
      </c>
      <c r="Q58" s="2">
        <v>329</v>
      </c>
      <c r="R58" s="59">
        <f>DATE(P58,3,29)</f>
        <v>56337</v>
      </c>
      <c r="Z58" s="12"/>
      <c r="AI58" s="2" t="s">
        <v>1111</v>
      </c>
      <c r="AK58" s="2">
        <v>52</v>
      </c>
      <c r="AL58" s="13" t="s">
        <v>1112</v>
      </c>
      <c r="AM58" s="64" t="s">
        <v>1048</v>
      </c>
      <c r="AN58" s="64" t="s">
        <v>591</v>
      </c>
      <c r="AO58" s="63" t="s">
        <v>592</v>
      </c>
      <c r="AP58" s="64" t="s">
        <v>1113</v>
      </c>
      <c r="AQ58" s="63" t="s">
        <v>590</v>
      </c>
      <c r="AR58" s="64" t="s">
        <v>1114</v>
      </c>
      <c r="AS58" s="144" t="s">
        <v>594</v>
      </c>
      <c r="AU58" s="2">
        <v>52</v>
      </c>
      <c r="AV58" s="13" t="s">
        <v>1112</v>
      </c>
      <c r="AW58" s="67" t="s">
        <v>1115</v>
      </c>
      <c r="AX58" s="66" t="s">
        <v>1116</v>
      </c>
      <c r="AY58" s="67" t="s">
        <v>1117</v>
      </c>
      <c r="AZ58" s="66" t="s">
        <v>1113</v>
      </c>
      <c r="BA58" s="67" t="s">
        <v>1118</v>
      </c>
      <c r="BB58" s="66" t="s">
        <v>1119</v>
      </c>
      <c r="BC58" s="67" t="s">
        <v>1120</v>
      </c>
      <c r="BE58" s="2">
        <v>52</v>
      </c>
      <c r="BF58" s="13" t="s">
        <v>1112</v>
      </c>
      <c r="BG58" s="68" t="s">
        <v>1121</v>
      </c>
      <c r="BH58" s="69" t="s">
        <v>1122</v>
      </c>
      <c r="BI58" s="68" t="s">
        <v>1123</v>
      </c>
      <c r="BJ58" s="69" t="s">
        <v>1124</v>
      </c>
      <c r="BK58" s="69" t="s">
        <v>1125</v>
      </c>
      <c r="BL58" s="69" t="s">
        <v>1126</v>
      </c>
      <c r="BM58" s="69" t="s">
        <v>1127</v>
      </c>
    </row>
    <row r="59" spans="2:65" ht="12.75">
      <c r="B59" s="4"/>
      <c r="C59" s="4"/>
      <c r="D59" s="220" t="s">
        <v>1128</v>
      </c>
      <c r="E59" s="73">
        <v>51</v>
      </c>
      <c r="F59" s="244" t="s">
        <v>629</v>
      </c>
      <c r="G59" s="93" t="str">
        <f>IF(ISBLANK(BG7),IF(MOD(A7,2),LOOKUP(E59,AK7:AM182),LOOKUP(E59,AU:AW)),IF(C27&gt;2,LOOKUP(E59,BE:BG),IF(C27=2,LOOKUP(E59,AU:AW),LOOKUP(E59,AK:AM))))</f>
        <v>2 Corinthians 3:1-9,</v>
      </c>
      <c r="H59" s="93" t="str">
        <f>IF(ISBLANK(BG7),IF(MOD(A7,2),LOOKUP(E59,AK7:AN182),LOOKUP(E59,AU:AX)),IF(C27&gt;2,LOOKUP(E59,BE:BH),IF(C27=2,LOOKUP(E59,AU:AX),LOOKUP(E59,AK:AN))))</f>
        <v>Hebrews 1:1-14,</v>
      </c>
      <c r="I59" s="93" t="str">
        <f>IF(ISBLANK(BG7),IF(MOD(A7,2),LOOKUP(E59,AK7:AO182),LOOKUP(E59,AU:AY)),IF(C27&gt;2,LOOKUP(E59,BE:BI),IF(C27=2,LOOKUP(E59,AU:AY),LOOKUP(E59,AK:AO))))</f>
        <v>Hebrews 2:1-10,</v>
      </c>
      <c r="J59" s="93" t="str">
        <f>IF(ISBLANK(BG7),IF(MOD(A7,2),LOOKUP(E59,AK7:AP182),LOOKUP(E59,AU:AZ)),IF(C27&gt;2,LOOKUP(E59,BE:BJ),IF(C27=2,LOOKUP(E59,AU:AZ),LOOKUP(E59,AK:AP))))</f>
        <v>Hebrews 12:1-14,</v>
      </c>
      <c r="K59" s="93" t="str">
        <f>IF(ISBLANK(BG7),IF(MOD(A7,2),LOOKUP(E59,AK7:AQ182),LOOKUP(E59,AU:BA)),IF(C27&gt;2,LOOKUP(E59,BE:BK),IF(C27=2,LOOKUP(E59,AU:BA),LOOKUP(E59,AK:AQ))))</f>
        <v>Titus 1:1-16,</v>
      </c>
      <c r="L59" s="93" t="str">
        <f>IF(ISBLANK(BG7),IF(MOD(A7,2),LOOKUP(E59,AK7:AR182),LOOKUP(E59,AU:BB)),IF(C27&gt;2,LOOKUP(E59,BE:BL),IF(C27=2,LOOKUP(E59,AU:BB),LOOKUP(E59,AK:AR))))</f>
        <v>Titus 2:1-15,</v>
      </c>
      <c r="M59" s="93" t="str">
        <f>IF(ISBLANK(BG7),IF(MOD(A7,2),LOOKUP(E59,AK7:AS182),LOOKUP(E59,AU:BC)),IF(C27&gt;2,LOOKUP(E59,BE:BM),IF(C27=2,LOOKUP(E59,AU:BC),LOOKUP(E59,AK:AS))))</f>
        <v>Titus 3:1-15,</v>
      </c>
      <c r="N59" s="10" t="s">
        <v>629</v>
      </c>
      <c r="O59" s="78" t="str">
        <f>D59</f>
        <v>(Ash Wed)</v>
      </c>
      <c r="P59" s="2">
        <v>2055</v>
      </c>
      <c r="Q59" s="2">
        <v>418</v>
      </c>
      <c r="R59" s="59">
        <f>DATE(P59,4,18)</f>
        <v>56722</v>
      </c>
      <c r="S59" s="59"/>
      <c r="T59" s="59"/>
      <c r="X59" s="59"/>
      <c r="Z59" s="12"/>
      <c r="AB59" s="59"/>
      <c r="AD59" s="59"/>
      <c r="AG59" s="59"/>
      <c r="AH59" s="59"/>
      <c r="AI59" s="213">
        <f>LOOKUP(B13,S6:X152)</f>
        <v>41301</v>
      </c>
      <c r="AK59" s="2">
        <v>53</v>
      </c>
      <c r="AL59" s="245" t="s">
        <v>1129</v>
      </c>
      <c r="AM59" s="89" t="s">
        <v>1130</v>
      </c>
      <c r="AN59" s="89" t="s">
        <v>1131</v>
      </c>
      <c r="AO59" s="88" t="s">
        <v>1132</v>
      </c>
      <c r="AP59" s="89" t="s">
        <v>1133</v>
      </c>
      <c r="AQ59" s="88" t="s">
        <v>1134</v>
      </c>
      <c r="AR59" s="89" t="s">
        <v>1135</v>
      </c>
      <c r="AS59" s="242" t="s">
        <v>1136</v>
      </c>
      <c r="AU59" s="2">
        <v>53</v>
      </c>
      <c r="AV59" s="245" t="s">
        <v>1129</v>
      </c>
      <c r="AW59" s="91" t="s">
        <v>1137</v>
      </c>
      <c r="AX59" s="90" t="s">
        <v>1138</v>
      </c>
      <c r="AY59" s="91" t="s">
        <v>1139</v>
      </c>
      <c r="AZ59" s="90" t="s">
        <v>1140</v>
      </c>
      <c r="BA59" s="91" t="s">
        <v>1141</v>
      </c>
      <c r="BB59" s="90" t="s">
        <v>1142</v>
      </c>
      <c r="BC59" s="91" t="s">
        <v>1143</v>
      </c>
      <c r="BE59" s="2">
        <v>53</v>
      </c>
      <c r="BF59" s="245" t="s">
        <v>1129</v>
      </c>
      <c r="BG59" s="68" t="s">
        <v>1144</v>
      </c>
      <c r="BH59" s="69" t="s">
        <v>1145</v>
      </c>
      <c r="BI59" s="68" t="s">
        <v>1146</v>
      </c>
      <c r="BJ59" s="69" t="s">
        <v>1147</v>
      </c>
      <c r="BK59" s="69" t="s">
        <v>1148</v>
      </c>
      <c r="BL59" s="69" t="s">
        <v>1149</v>
      </c>
      <c r="BM59" s="69" t="s">
        <v>1150</v>
      </c>
    </row>
    <row r="60" spans="2:65" ht="12.75">
      <c r="B60" s="154"/>
      <c r="C60" s="4"/>
      <c r="D60" s="152"/>
      <c r="E60" s="96">
        <v>52</v>
      </c>
      <c r="F60" s="97" t="s">
        <v>1151</v>
      </c>
      <c r="G60" s="120" t="str">
        <f>IF(ISBLANK(BG7),IF(MOD(A7,2),LOOKUP(E60,AK7:AM182),LOOKUP(E60,AU:AW)),IF(C27&gt;2,LOOKUP(E60,BE:BG),IF(C27=2,LOOKUP(E60,AU:AW),LOOKUP(E60,AK:AM))))</f>
        <v>John 12:27-36a</v>
      </c>
      <c r="H60" s="83" t="str">
        <f>IF(ISBLANK(BG7),IF(MOD(A7,2),LOOKUP(E60,AK7:AN182),LOOKUP(E60,AU:AX)),IF(C27&gt;2,LOOKUP(E60,BE:BH),IF(C27=2,LOOKUP(E60,AU:AX),LOOKUP(E60,AK:AN))))</f>
        <v>John 1:1-18</v>
      </c>
      <c r="I60" s="83" t="str">
        <f>IF(ISBLANK(BG7),IF(MOD(A7,2),LOOKUP(E60,AK7:AO182),LOOKUP(E60,AU:AY)),IF(C27&gt;2,LOOKUP(E60,BE:BI),IF(C27=2,LOOKUP(E60,AU:AY),LOOKUP(E60,AK:AO))))</f>
        <v>John 1:19-28</v>
      </c>
      <c r="J60" s="83" t="str">
        <f>IF(ISBLANK(BG7),IF(MOD(A7,2),LOOKUP(E60,AK7:AP182),LOOKUP(E60,AU:AZ)),IF(C27&gt;2,LOOKUP(E60,BE:BJ),IF(C27=2,LOOKUP(E60,AU:AZ),LOOKUP(E60,AK:AP))))</f>
        <v>Luke 18:9-14</v>
      </c>
      <c r="K60" s="83" t="str">
        <f>IF(ISBLANK(BG7),IF(MOD(A7,2),LOOKUP(E60,AK7:AQ182),LOOKUP(E60,AU:BA)),IF(C27&gt;2,LOOKUP(E60,BE:BK),IF(C27=2,LOOKUP(E60,AU:BA),LOOKUP(E60,AK:AQ))))</f>
        <v>John 1:29-34</v>
      </c>
      <c r="L60" s="83" t="str">
        <f>IF(ISBLANK(BG7),IF(MOD(A7,2),LOOKUP(E60,AK7:AR182),LOOKUP(E60,AU:BB)),IF(C27&gt;2,LOOKUP(E60,BE:BL),IF(C27=2,LOOKUP(E60,AU:BB),LOOKUP(E60,AK:AR))))</f>
        <v>John 1:35-42</v>
      </c>
      <c r="M60" s="83" t="str">
        <f>IF(ISBLANK(BG7),IF(MOD(A7,2),LOOKUP(E60,AK7:AS182),LOOKUP(E60,AU:BC)),IF(C27&gt;2,LOOKUP(E60,BE:BM),IF(C27=2,LOOKUP(E60,AU:BC),LOOKUP(E60,AK:AS))))</f>
        <v>John 1:43-51</v>
      </c>
      <c r="N60" s="77" t="s">
        <v>1151</v>
      </c>
      <c r="O60" s="78"/>
      <c r="P60" s="2">
        <v>2056</v>
      </c>
      <c r="Q60" s="2">
        <v>402</v>
      </c>
      <c r="R60" s="59">
        <f>DATE(P60,4,2)</f>
        <v>57072</v>
      </c>
      <c r="S60" s="59"/>
      <c r="T60" s="59"/>
      <c r="X60" s="59"/>
      <c r="Z60" s="12"/>
      <c r="AB60" s="59"/>
      <c r="AD60" s="59"/>
      <c r="AG60" s="59"/>
      <c r="AH60" s="59"/>
      <c r="AI60" s="213"/>
      <c r="AK60" s="2">
        <v>54</v>
      </c>
      <c r="AL60" s="13" t="s">
        <v>1152</v>
      </c>
      <c r="AM60" s="64" t="s">
        <v>1153</v>
      </c>
      <c r="AN60" s="64" t="s">
        <v>569</v>
      </c>
      <c r="AO60" s="63" t="s">
        <v>570</v>
      </c>
      <c r="AP60" s="64" t="s">
        <v>571</v>
      </c>
      <c r="AQ60" s="63" t="s">
        <v>1154</v>
      </c>
      <c r="AR60" s="64" t="s">
        <v>1155</v>
      </c>
      <c r="AS60" s="144" t="s">
        <v>1156</v>
      </c>
      <c r="AU60" s="2">
        <v>54</v>
      </c>
      <c r="AV60" s="13" t="s">
        <v>1152</v>
      </c>
      <c r="AW60" s="67" t="s">
        <v>428</v>
      </c>
      <c r="AX60" s="66" t="s">
        <v>1157</v>
      </c>
      <c r="AY60" s="67" t="s">
        <v>1158</v>
      </c>
      <c r="AZ60" s="66" t="s">
        <v>1159</v>
      </c>
      <c r="BA60" s="67" t="s">
        <v>1160</v>
      </c>
      <c r="BB60" s="66" t="s">
        <v>1161</v>
      </c>
      <c r="BC60" s="67" t="s">
        <v>1162</v>
      </c>
      <c r="BE60" s="2">
        <v>54</v>
      </c>
      <c r="BF60" s="13" t="s">
        <v>1152</v>
      </c>
      <c r="BG60" s="68" t="s">
        <v>1163</v>
      </c>
      <c r="BH60" s="69" t="s">
        <v>1164</v>
      </c>
      <c r="BI60" s="68" t="s">
        <v>1165</v>
      </c>
      <c r="BJ60" s="69" t="s">
        <v>1166</v>
      </c>
      <c r="BK60" s="69" t="s">
        <v>1167</v>
      </c>
      <c r="BL60" s="69" t="s">
        <v>1168</v>
      </c>
      <c r="BM60" s="69" t="s">
        <v>1169</v>
      </c>
    </row>
    <row r="61" spans="2:65" ht="12.75">
      <c r="B61" s="154"/>
      <c r="C61" s="4"/>
      <c r="D61" s="48">
        <f>D58+7</f>
        <v>41322</v>
      </c>
      <c r="E61" s="49">
        <v>53</v>
      </c>
      <c r="F61" s="246" t="s">
        <v>1170</v>
      </c>
      <c r="G61" s="51" t="str">
        <f>IF(ISBLANK(BG7),IF(MOD(A7,2),LOOKUP(E61,AK7:AM182),LOOKUP(E61,AU:AW)),IF(C27&gt;2,LOOKUP(E61,BE:BG),IF(C27=2,LOOKUP(E61,AU:AW),LOOKUP(E61,AK:AM))))</f>
        <v>Jeremiah 9:23-24,</v>
      </c>
      <c r="H61" s="52" t="str">
        <f>IF(ISBLANK(BG7),IF(MOD(A7,2),LOOKUP(E61,AK7:AN182),LOOKUP(E61,AU:AX)),IF(C27&gt;2,LOOKUP(E61,BE:BH),IF(C27=2,LOOKUP(E61,AU:AX),LOOKUP(E61,AK:AN))))</f>
        <v>Deuteronomy 8:1-20,</v>
      </c>
      <c r="I61" s="52" t="str">
        <f>IF(ISBLANK(BG7),IF(MOD(A7,2),LOOKUP(E61,AK7:AO182),LOOKUP(E61,AU:AY)),IF(C27&gt;2,LOOKUP(E61,BE:BI),IF(C27=2,LOOKUP(E61,AU:AY),LOOKUP(E61,AK:AO))))</f>
        <v>Deuteronomy 9:(1-3) 4-12,</v>
      </c>
      <c r="J61" s="52" t="str">
        <f>IF(ISBLANK(BG7),IF(MOD(A7,2),LOOKUP(E61,AK7:AP182),LOOKUP(E61,AU:AZ)),IF(C27&gt;2,LOOKUP(E61,BE:BJ),IF(C27=2,LOOKUP(E61,AU:AZ),LOOKUP(E61,AK:AP))))</f>
        <v>Deuteronomy 9:13-21,</v>
      </c>
      <c r="K61" s="52" t="str">
        <f>IF(ISBLANK(BG7),IF(MOD(A7,2),LOOKUP(E61,AK7:AQ182),LOOKUP(E61,AU:BA)),IF(C27&gt;2,LOOKUP(E61,BE:BK),IF(C27=2,LOOKUP(E61,AU:BA),LOOKUP(E61,AK:AQ))))</f>
        <v>Deuteronomy 9:23-10:5,</v>
      </c>
      <c r="L61" s="52" t="str">
        <f>IF(ISBLANK(BG7),IF(MOD(A7,2),LOOKUP(E61,AK7:AR182),LOOKUP(E61,AU:BB)),IF(C27&gt;2,LOOKUP(E61,BE:BL),IF(C27=2,LOOKUP(E61,AU:BB),LOOKUP(E61,AK:AR))))</f>
        <v>Deuteronomy 10:12-22,</v>
      </c>
      <c r="M61" s="52" t="str">
        <f>IF(ISBLANK(BG7),IF(MOD(A7,2),LOOKUP(E61,AK7:AS182),LOOKUP(E61,AU:BC)),IF(C27&gt;2,LOOKUP(E61,BE:BM),IF(C27=2,LOOKUP(E61,AU:BC),LOOKUP(E61,AK:AS))))</f>
        <v>Deuteronomy 11:18-28,</v>
      </c>
      <c r="N61" s="247" t="s">
        <v>1170</v>
      </c>
      <c r="O61" s="56">
        <f>D61</f>
        <v>41322</v>
      </c>
      <c r="P61" s="2">
        <v>2057</v>
      </c>
      <c r="Q61" s="2">
        <v>422</v>
      </c>
      <c r="R61" s="59">
        <f>DATE(P61,4,22)</f>
        <v>57457</v>
      </c>
      <c r="Z61" s="12"/>
      <c r="AI61" s="2" t="s">
        <v>1171</v>
      </c>
      <c r="AK61" s="2">
        <v>55</v>
      </c>
      <c r="AL61" s="248" t="s">
        <v>1172</v>
      </c>
      <c r="AM61" s="102" t="s">
        <v>1173</v>
      </c>
      <c r="AN61" s="102" t="s">
        <v>595</v>
      </c>
      <c r="AO61" s="101" t="s">
        <v>596</v>
      </c>
      <c r="AP61" s="102" t="s">
        <v>660</v>
      </c>
      <c r="AQ61" s="101" t="s">
        <v>304</v>
      </c>
      <c r="AR61" s="102" t="s">
        <v>661</v>
      </c>
      <c r="AS61" s="249" t="s">
        <v>1174</v>
      </c>
      <c r="AU61" s="2">
        <v>55</v>
      </c>
      <c r="AV61" s="248" t="s">
        <v>1172</v>
      </c>
      <c r="AW61" s="104" t="s">
        <v>1175</v>
      </c>
      <c r="AX61" s="103" t="s">
        <v>584</v>
      </c>
      <c r="AY61" s="104" t="s">
        <v>1176</v>
      </c>
      <c r="AZ61" s="103" t="s">
        <v>586</v>
      </c>
      <c r="BA61" s="104" t="s">
        <v>587</v>
      </c>
      <c r="BB61" s="103" t="s">
        <v>588</v>
      </c>
      <c r="BC61" s="104" t="s">
        <v>589</v>
      </c>
      <c r="BE61" s="2">
        <v>55</v>
      </c>
      <c r="BF61" s="248" t="s">
        <v>1172</v>
      </c>
      <c r="BG61" s="68" t="s">
        <v>1177</v>
      </c>
      <c r="BH61" s="69" t="s">
        <v>1178</v>
      </c>
      <c r="BI61" s="68" t="s">
        <v>1179</v>
      </c>
      <c r="BJ61" s="69" t="s">
        <v>1180</v>
      </c>
      <c r="BK61" s="69" t="s">
        <v>1181</v>
      </c>
      <c r="BL61" s="69" t="s">
        <v>1182</v>
      </c>
      <c r="BM61" s="69" t="s">
        <v>1183</v>
      </c>
    </row>
    <row r="62" spans="2:65" ht="12.75">
      <c r="B62" s="4"/>
      <c r="C62" s="4"/>
      <c r="D62" s="138"/>
      <c r="E62" s="73">
        <v>54</v>
      </c>
      <c r="F62" s="250"/>
      <c r="G62" s="75" t="str">
        <f>IF(ISBLANK(BG7),IF(MOD(A7,2),LOOKUP(E62,AK7:AM182),LOOKUP(E62,AU:AW)),IF(C27&gt;2,LOOKUP(E62,BE:BG),IF(C27=2,LOOKUP(E62,AU:AW),LOOKUP(E62,AK:AM))))</f>
        <v>1 Corinthians 1:18-31,</v>
      </c>
      <c r="H62" s="93" t="str">
        <f>IF(ISBLANK(BG7),IF(MOD(A7,2),LOOKUP(E62,AK7:AN182),LOOKUP(E62,AU:AX)),IF(C27&gt;2,LOOKUP(E62,BE:BH),IF(C27=2,LOOKUP(E62,AU:AX),LOOKUP(E62,AK:AN))))</f>
        <v>Hebrews 2:11-18,</v>
      </c>
      <c r="I62" s="93" t="str">
        <f>IF(ISBLANK(BG7),IF(MOD(A7,2),LOOKUP(E62,AK7:AO182),LOOKUP(E62,AU:AY)),IF(C27&gt;2,LOOKUP(E62,BE:BI),IF(C27=2,LOOKUP(E62,AU:AY),LOOKUP(E62,AK:AO))))</f>
        <v>Hebrews 3:1-11,</v>
      </c>
      <c r="J62" s="93" t="str">
        <f>IF(ISBLANK(BG7),IF(MOD(A7,2),LOOKUP(E62,AK7:AP182),LOOKUP(E62,AU:AZ)),IF(C27&gt;2,LOOKUP(E62,BE:BJ),IF(C27=2,LOOKUP(E62,AU:AZ),LOOKUP(E62,AK:AP))))</f>
        <v>Hebrews 3:12-19,</v>
      </c>
      <c r="K62" s="93" t="str">
        <f>IF(ISBLANK(BG7),IF(MOD(A7,2),LOOKUP(E62,AK7:AQ182),LOOKUP(E62,AU:BA)),IF(C27&gt;2,LOOKUP(E62,BE:BK),IF(C27=2,LOOKUP(E62,AU:BA),LOOKUP(E62,AK:AQ))))</f>
        <v>Hebrews 4:1-10,</v>
      </c>
      <c r="L62" s="93" t="str">
        <f>IF(ISBLANK(BG7),IF(MOD(A7,2),LOOKUP(E62,AK7:AR182),LOOKUP(E62,AU:BB)),IF(C27&gt;2,LOOKUP(E62,BE:BL),IF(C27=2,LOOKUP(E62,AU:BB),LOOKUP(E62,AK:AR))))</f>
        <v>Hebrews 4:11-16,</v>
      </c>
      <c r="M62" s="93" t="str">
        <f>IF(ISBLANK(BG7),IF(MOD(A7,2),LOOKUP(E62,AK7:AS182),LOOKUP(E62,AU:BC)),IF(C27&gt;2,LOOKUP(E62,BE:BM),IF(C27=2,LOOKUP(E62,AU:BC),LOOKUP(E62,AK:AS))))</f>
        <v>Hebrews 5:1-10,</v>
      </c>
      <c r="N62" s="251"/>
      <c r="O62" s="78"/>
      <c r="P62" s="2">
        <v>2058</v>
      </c>
      <c r="Q62" s="2">
        <v>414</v>
      </c>
      <c r="R62" s="59">
        <f>DATE(P62,4,14)</f>
        <v>57814</v>
      </c>
      <c r="S62" s="59"/>
      <c r="T62" s="59"/>
      <c r="X62" s="59"/>
      <c r="Z62" s="12"/>
      <c r="AB62" s="59"/>
      <c r="AD62" s="59"/>
      <c r="AG62" s="59"/>
      <c r="AH62" s="59"/>
      <c r="AI62" s="44">
        <f>LOOKUP(B13,S6:V152)</f>
        <v>2</v>
      </c>
      <c r="AK62" s="2">
        <v>56</v>
      </c>
      <c r="AL62" s="245" t="s">
        <v>1184</v>
      </c>
      <c r="AM62" s="64" t="s">
        <v>1185</v>
      </c>
      <c r="AN62" s="64" t="s">
        <v>1186</v>
      </c>
      <c r="AO62" s="63" t="s">
        <v>1187</v>
      </c>
      <c r="AP62" s="64" t="s">
        <v>1188</v>
      </c>
      <c r="AQ62" s="63" t="s">
        <v>1189</v>
      </c>
      <c r="AR62" s="64" t="s">
        <v>1190</v>
      </c>
      <c r="AS62" s="144" t="s">
        <v>1191</v>
      </c>
      <c r="AU62" s="2">
        <v>56</v>
      </c>
      <c r="AV62" s="245" t="s">
        <v>1184</v>
      </c>
      <c r="AW62" s="91" t="s">
        <v>1192</v>
      </c>
      <c r="AX62" s="90" t="s">
        <v>1193</v>
      </c>
      <c r="AY62" s="91" t="s">
        <v>1194</v>
      </c>
      <c r="AZ62" s="90" t="s">
        <v>1195</v>
      </c>
      <c r="BA62" s="91" t="s">
        <v>1196</v>
      </c>
      <c r="BB62" s="90" t="s">
        <v>1197</v>
      </c>
      <c r="BC62" s="91" t="s">
        <v>1198</v>
      </c>
      <c r="BE62" s="2">
        <v>56</v>
      </c>
      <c r="BF62" s="245" t="s">
        <v>1184</v>
      </c>
      <c r="BG62" s="68" t="s">
        <v>1199</v>
      </c>
      <c r="BH62" s="69" t="s">
        <v>1200</v>
      </c>
      <c r="BI62" s="68" t="s">
        <v>1201</v>
      </c>
      <c r="BJ62" s="69" t="s">
        <v>1202</v>
      </c>
      <c r="BK62" s="69" t="s">
        <v>1203</v>
      </c>
      <c r="BL62" s="69" t="s">
        <v>1204</v>
      </c>
      <c r="BM62" s="69" t="s">
        <v>1205</v>
      </c>
    </row>
    <row r="63" spans="2:65" ht="12.75">
      <c r="B63" s="4"/>
      <c r="C63" s="4"/>
      <c r="D63" s="138"/>
      <c r="E63" s="96">
        <v>55</v>
      </c>
      <c r="F63" s="252"/>
      <c r="G63" s="82" t="str">
        <f>IF(ISBLANK(BG7),IF(MOD(A7,2),LOOKUP(E63,AK7:AM182),LOOKUP(E63,AU:AW)),IF(C27&gt;2,LOOKUP(E63,BE:BG),IF(C27=2,LOOKUP(E63,AU:AW),LOOKUP(E63,AK:AM))))</f>
        <v>Mark 2:18-22</v>
      </c>
      <c r="H63" s="83" t="str">
        <f>IF(ISBLANK(BG7),IF(MOD(A7,2),LOOKUP(E63,AK7:AN182),LOOKUP(E63,AU:AX)),IF(C27&gt;2,LOOKUP(E63,BE:BH),IF(C27=2,LOOKUP(E63,AU:AX),LOOKUP(E63,AK:AN))))</f>
        <v>John 2:1-12</v>
      </c>
      <c r="I63" s="83" t="str">
        <f>IF(ISBLANK(BG7),IF(MOD(A7,2),LOOKUP(E63,AK7:AO182),LOOKUP(E63,AU:AY)),IF(C27&gt;2,LOOKUP(E63,BE:BI),IF(C27=2,LOOKUP(E63,AU:AY),LOOKUP(E63,AK:AO))))</f>
        <v>John 2:13-22</v>
      </c>
      <c r="J63" s="83" t="str">
        <f>IF(ISBLANK(BG7),IF(MOD(A7,2),LOOKUP(E63,AK7:AP182),LOOKUP(E63,AU:AZ)),IF(C27&gt;2,LOOKUP(E63,BE:BJ),IF(C27=2,LOOKUP(E63,AU:AZ),LOOKUP(E63,AK:AP))))</f>
        <v>John 2:23-3:15</v>
      </c>
      <c r="K63" s="83" t="str">
        <f>IF(ISBLANK(BG7),IF(MOD(A7,2),LOOKUP(E63,AK7:AQ182),LOOKUP(E63,AU:BA)),IF(C27&gt;2,LOOKUP(E63,BE:BK),IF(C27=2,LOOKUP(E63,AU:BA),LOOKUP(E63,AK:AQ))))</f>
        <v>John 3:16-21</v>
      </c>
      <c r="L63" s="83" t="str">
        <f>IF(ISBLANK(BG7),IF(MOD(A7,2),LOOKUP(E63,AK7:AR182),LOOKUP(E63,AU:BB)),IF(C27&gt;2,LOOKUP(E63,BE:BL),IF(C27=2,LOOKUP(E63,AU:BB),LOOKUP(E63,AK:AR))))</f>
        <v>John 3:22-36</v>
      </c>
      <c r="M63" s="83" t="str">
        <f>IF(ISBLANK(BG7),IF(MOD(A7,2),LOOKUP(E63,AK7:AS182),LOOKUP(E63,AU:BC)),IF(C27&gt;2,LOOKUP(E63,BE:BM),IF(C27=2,LOOKUP(E63,AU:BC),LOOKUP(E63,AK:AS))))</f>
        <v>John 4:1-26</v>
      </c>
      <c r="N63" s="253"/>
      <c r="O63" s="99"/>
      <c r="P63" s="2">
        <v>2059</v>
      </c>
      <c r="Q63" s="2">
        <v>330</v>
      </c>
      <c r="R63" s="59">
        <f>DATE(P63,3,30)</f>
        <v>58164</v>
      </c>
      <c r="S63" s="59"/>
      <c r="T63" s="59"/>
      <c r="X63" s="59"/>
      <c r="Z63" s="12"/>
      <c r="AB63" s="59"/>
      <c r="AD63" s="59"/>
      <c r="AG63" s="59"/>
      <c r="AH63" s="59"/>
      <c r="AI63" s="44" t="s">
        <v>1206</v>
      </c>
      <c r="AK63" s="2">
        <v>57</v>
      </c>
      <c r="AL63" s="13" t="s">
        <v>1207</v>
      </c>
      <c r="AM63" s="64" t="s">
        <v>1208</v>
      </c>
      <c r="AN63" s="64" t="s">
        <v>1209</v>
      </c>
      <c r="AO63" s="63" t="s">
        <v>1210</v>
      </c>
      <c r="AP63" s="64" t="s">
        <v>1211</v>
      </c>
      <c r="AQ63" s="63" t="s">
        <v>1212</v>
      </c>
      <c r="AR63" s="64" t="s">
        <v>1213</v>
      </c>
      <c r="AS63" s="144" t="s">
        <v>1214</v>
      </c>
      <c r="AU63" s="2">
        <v>57</v>
      </c>
      <c r="AV63" s="13" t="s">
        <v>1207</v>
      </c>
      <c r="AW63" s="67" t="s">
        <v>1215</v>
      </c>
      <c r="AX63" s="66" t="s">
        <v>1216</v>
      </c>
      <c r="AY63" s="67" t="s">
        <v>1217</v>
      </c>
      <c r="AZ63" s="66" t="s">
        <v>1218</v>
      </c>
      <c r="BA63" s="67" t="s">
        <v>1219</v>
      </c>
      <c r="BB63" s="66" t="s">
        <v>1220</v>
      </c>
      <c r="BC63" s="67" t="s">
        <v>1221</v>
      </c>
      <c r="BE63" s="2">
        <v>57</v>
      </c>
      <c r="BF63" s="13" t="s">
        <v>1207</v>
      </c>
      <c r="BG63" s="68" t="s">
        <v>1222</v>
      </c>
      <c r="BH63" s="69" t="s">
        <v>1223</v>
      </c>
      <c r="BI63" s="68" t="s">
        <v>1224</v>
      </c>
      <c r="BJ63" s="69" t="s">
        <v>1225</v>
      </c>
      <c r="BK63" s="69" t="s">
        <v>1226</v>
      </c>
      <c r="BL63" s="69" t="s">
        <v>1227</v>
      </c>
      <c r="BM63" s="69" t="s">
        <v>1228</v>
      </c>
    </row>
    <row r="64" spans="2:65" ht="12.75">
      <c r="B64" s="4"/>
      <c r="C64" s="4"/>
      <c r="D64" s="254">
        <f>B13-35</f>
        <v>41329</v>
      </c>
      <c r="E64" s="49">
        <v>56</v>
      </c>
      <c r="F64" s="246" t="s">
        <v>1229</v>
      </c>
      <c r="G64" s="107" t="str">
        <f>IF(ISBLANK(BG7),IF(MOD(A7,2),LOOKUP(E64,AK7:AM182),LOOKUP(E64,AU:AW)),IF(C27&gt;2,LOOKUP(E64,BE:BG),IF(C27=2,LOOKUP(E64,AU:AW),LOOKUP(E64,AK:AM))))</f>
        <v>Jeremiah 1:1-10,</v>
      </c>
      <c r="H64" s="108" t="str">
        <f>IF(ISBLANK(BG7),IF(MOD(A7,2),LOOKUP(E64,AK7:AN182),LOOKUP(E64,AU:AX)),IF(C27&gt;2,LOOKUP(E64,BE:BH),IF(C27=2,LOOKUP(E64,AU:AX),LOOKUP(E64,AK:AN))))</f>
        <v>Jeremiah 1:11-19,</v>
      </c>
      <c r="I64" s="108" t="str">
        <f>IF(ISBLANK(BG7),IF(MOD(A7,2),LOOKUP(E64,AK7:AO182),LOOKUP(E64,AU:AY)),IF(C27&gt;2,LOOKUP(E64,BE:BI),IF(C27=2,LOOKUP(E64,AU:AY),LOOKUP(E64,AK:AO))))</f>
        <v>Jeremiah 2:1-13, 29-32,</v>
      </c>
      <c r="J64" s="108" t="str">
        <f>IF(ISBLANK(BG7),IF(MOD(A7,2),LOOKUP(E64,AK7:AP182),LOOKUP(E64,AU:AZ)),IF(C27&gt;2,LOOKUP(E64,BE:BJ),IF(C27=2,LOOKUP(E64,AU:AZ),LOOKUP(E64,AK:AP))))</f>
        <v>Jeremiah 3:6-18,</v>
      </c>
      <c r="K64" s="108" t="str">
        <f>IF(ISBLANK(BG7),IF(MOD(A7,2),LOOKUP(E64,AK7:AQ182),LOOKUP(E64,AU:BA)),IF(C27&gt;2,LOOKUP(E64,BE:BK),IF(C27=2,LOOKUP(E64,AU:BA),LOOKUP(E64,AK:AQ))))</f>
        <v>Jeremiah 4:9-10, 19-28,</v>
      </c>
      <c r="L64" s="108" t="str">
        <f>IF(ISBLANK(BG7),IF(MOD(A7,2),LOOKUP(E64,AK7:AR182),LOOKUP(E64,AU:BB)),IF(C27&gt;2,LOOKUP(E64,BE:BL),IF(C27=2,LOOKUP(E64,AU:BB),LOOKUP(E64,AK:AR))))</f>
        <v>Jeremiah 5:1-9,</v>
      </c>
      <c r="M64" s="108" t="str">
        <f>IF(ISBLANK(BG7),IF(MOD(A7,2),LOOKUP(E64,AK7:AS182),LOOKUP(E64,AU:BC)),IF(C27&gt;2,LOOKUP(E64,BE:BM),IF(C27=2,LOOKUP(E64,AU:BC),LOOKUP(E64,AK:AS))))</f>
        <v>Jeremiah 5:20-31,</v>
      </c>
      <c r="N64" s="247" t="s">
        <v>1229</v>
      </c>
      <c r="O64" s="109">
        <f>D64</f>
        <v>41329</v>
      </c>
      <c r="P64" s="2">
        <v>2060</v>
      </c>
      <c r="Q64" s="2">
        <v>418</v>
      </c>
      <c r="R64" s="59">
        <f>DATE(P64,4,18)</f>
        <v>58549</v>
      </c>
      <c r="Z64" s="12"/>
      <c r="AI64" s="59">
        <f>AI53+1</f>
        <v>41365</v>
      </c>
      <c r="AK64" s="2">
        <v>58</v>
      </c>
      <c r="AL64" s="248" t="s">
        <v>1230</v>
      </c>
      <c r="AM64" s="64" t="s">
        <v>1231</v>
      </c>
      <c r="AN64" s="64" t="s">
        <v>652</v>
      </c>
      <c r="AO64" s="63" t="s">
        <v>723</v>
      </c>
      <c r="AP64" s="64" t="s">
        <v>724</v>
      </c>
      <c r="AQ64" s="63" t="s">
        <v>725</v>
      </c>
      <c r="AR64" s="64" t="s">
        <v>298</v>
      </c>
      <c r="AS64" s="144" t="s">
        <v>791</v>
      </c>
      <c r="AU64" s="2">
        <v>58</v>
      </c>
      <c r="AV64" s="248" t="s">
        <v>1230</v>
      </c>
      <c r="AW64" s="104" t="s">
        <v>1232</v>
      </c>
      <c r="AX64" s="103" t="s">
        <v>653</v>
      </c>
      <c r="AY64" s="104" t="s">
        <v>654</v>
      </c>
      <c r="AZ64" s="103" t="s">
        <v>655</v>
      </c>
      <c r="BA64" s="104" t="s">
        <v>656</v>
      </c>
      <c r="BB64" s="103" t="s">
        <v>657</v>
      </c>
      <c r="BC64" s="104" t="s">
        <v>658</v>
      </c>
      <c r="BE64" s="2">
        <v>58</v>
      </c>
      <c r="BF64" s="248" t="s">
        <v>1230</v>
      </c>
      <c r="BG64" s="68" t="s">
        <v>1233</v>
      </c>
      <c r="BH64" s="69" t="s">
        <v>1234</v>
      </c>
      <c r="BI64" s="68" t="s">
        <v>1235</v>
      </c>
      <c r="BJ64" s="69" t="s">
        <v>1236</v>
      </c>
      <c r="BK64" s="69" t="s">
        <v>1237</v>
      </c>
      <c r="BL64" s="69" t="s">
        <v>1238</v>
      </c>
      <c r="BM64" s="69" t="s">
        <v>1239</v>
      </c>
    </row>
    <row r="65" spans="2:65" ht="12.75">
      <c r="B65" s="4"/>
      <c r="C65" s="4"/>
      <c r="D65" s="138"/>
      <c r="E65" s="73">
        <v>57</v>
      </c>
      <c r="F65" s="250"/>
      <c r="G65" s="255" t="str">
        <f>IF(ISBLANK(BG7),IF(MOD(A7,2),LOOKUP(E65,AK7:AM182),LOOKUP(E65,AU:AW)),IF(C27&gt;2,LOOKUP(E65,BE:BG),IF(C27=2,LOOKUP(E65,AU:AW),LOOKUP(E65,AK:AM))))</f>
        <v>1 Corinthians 3:11-23,</v>
      </c>
      <c r="H65" s="111" t="str">
        <f>IF(ISBLANK(BG7),IF(MOD(A7,2),LOOKUP(E65,AK7:AN182),LOOKUP(E65,AU:AX)),IF(C27&gt;2,LOOKUP(E65,BE:BH),IF(C27=2,LOOKUP(E65,AU:AX),LOOKUP(E65,AK:AN))))</f>
        <v>Romans 1:1-15,</v>
      </c>
      <c r="I65" s="111" t="str">
        <f>IF(ISBLANK(BG7),IF(MOD(A7,2),LOOKUP(E65,AK7:AO182),LOOKUP(E65,AU:AY)),IF(C27&gt;2,LOOKUP(E65,BE:BI),IF(C27=2,LOOKUP(E65,AU:AY),LOOKUP(E65,AK:AO))))</f>
        <v>Romans 1:16-25,</v>
      </c>
      <c r="J65" s="111" t="str">
        <f>IF(ISBLANK(BG7),IF(MOD(A7,2),LOOKUP(E65,AK7:AP182),LOOKUP(E65,AU:AZ)),IF(C27&gt;2,LOOKUP(E65,BE:BJ),IF(C27=2,LOOKUP(E65,AU:AZ),LOOKUP(E65,AK:AP))))</f>
        <v>Romans 1:(26-27) 28-2:11,</v>
      </c>
      <c r="K65" s="111" t="str">
        <f>IF(ISBLANK(BG7),IF(MOD(A7,2),LOOKUP(E65,AK7:AQ182),LOOKUP(E65,AU:BA)),IF(C27&gt;2,LOOKUP(E65,BE:BK),IF(C27=2,LOOKUP(E65,AU:BA),LOOKUP(E65,AK:AQ))))</f>
        <v>Romans 2:12-24,</v>
      </c>
      <c r="L65" s="111" t="str">
        <f>IF(ISBLANK(BG7),IF(MOD(A7,2),LOOKUP(E65,AK7:AR182),LOOKUP(E65,AU:BB)),IF(C27&gt;2,LOOKUP(E65,BE:BL),IF(C27=2,LOOKUP(E65,AU:BB),LOOKUP(E65,AK:AR))))</f>
        <v>Romans 2:25-3:18,</v>
      </c>
      <c r="M65" s="111" t="str">
        <f>IF(ISBLANK(BG7),IF(MOD(A7,2),LOOKUP(E65,AK7:AS182),LOOKUP(E65,AU:BC)),IF(C27&gt;2,LOOKUP(E65,BE:BM),IF(C27=2,LOOKUP(E65,AU:BC),LOOKUP(E65,AK:AS))))</f>
        <v>Romans 3:19-31,</v>
      </c>
      <c r="N65" s="251"/>
      <c r="O65" s="78"/>
      <c r="P65" s="2">
        <v>2061</v>
      </c>
      <c r="Q65" s="2">
        <v>410</v>
      </c>
      <c r="R65" s="59">
        <f>DATE(P65,4,10)</f>
        <v>58906</v>
      </c>
      <c r="S65" s="59"/>
      <c r="T65" s="59"/>
      <c r="X65" s="59"/>
      <c r="Z65" s="12"/>
      <c r="AB65" s="59"/>
      <c r="AD65" s="59"/>
      <c r="AG65" s="59"/>
      <c r="AH65" s="59"/>
      <c r="AI65" s="59"/>
      <c r="AK65" s="2">
        <v>59</v>
      </c>
      <c r="AL65" s="13" t="s">
        <v>1240</v>
      </c>
      <c r="AM65" s="89" t="s">
        <v>1241</v>
      </c>
      <c r="AN65" s="89" t="s">
        <v>1242</v>
      </c>
      <c r="AO65" s="88" t="s">
        <v>1243</v>
      </c>
      <c r="AP65" s="89" t="s">
        <v>1244</v>
      </c>
      <c r="AQ65" s="88" t="s">
        <v>1245</v>
      </c>
      <c r="AR65" s="89" t="s">
        <v>1246</v>
      </c>
      <c r="AS65" s="242" t="s">
        <v>1247</v>
      </c>
      <c r="AU65" s="2">
        <v>59</v>
      </c>
      <c r="AV65" s="13" t="s">
        <v>1240</v>
      </c>
      <c r="AW65" s="67" t="s">
        <v>1248</v>
      </c>
      <c r="AX65" s="66" t="s">
        <v>1249</v>
      </c>
      <c r="AY65" s="67" t="s">
        <v>1250</v>
      </c>
      <c r="AZ65" s="66" t="s">
        <v>1251</v>
      </c>
      <c r="BA65" s="67" t="s">
        <v>1252</v>
      </c>
      <c r="BB65" s="66" t="s">
        <v>1253</v>
      </c>
      <c r="BC65" s="67" t="s">
        <v>1254</v>
      </c>
      <c r="BE65" s="2">
        <v>59</v>
      </c>
      <c r="BF65" s="13" t="s">
        <v>1240</v>
      </c>
      <c r="BG65" s="68" t="s">
        <v>1255</v>
      </c>
      <c r="BH65" s="69" t="s">
        <v>1256</v>
      </c>
      <c r="BI65" s="68" t="s">
        <v>1257</v>
      </c>
      <c r="BJ65" s="69" t="s">
        <v>1258</v>
      </c>
      <c r="BK65" s="69" t="s">
        <v>1259</v>
      </c>
      <c r="BL65" s="69" t="s">
        <v>1260</v>
      </c>
      <c r="BM65" s="69" t="s">
        <v>1261</v>
      </c>
    </row>
    <row r="66" spans="2:65" ht="12.75">
      <c r="B66" s="4"/>
      <c r="C66" s="4"/>
      <c r="D66" s="256"/>
      <c r="E66" s="96">
        <v>58</v>
      </c>
      <c r="F66" s="252"/>
      <c r="G66" s="199" t="str">
        <f>IF(ISBLANK(BG7),IF(MOD(A7,2),LOOKUP(E66,AK7:AM182),LOOKUP(E66,AU:AW)),IF(C27&gt;2,LOOKUP(E66,BE:BG),IF(C27=2,LOOKUP(E66,AU:AW),LOOKUP(E66,AK:AM))))</f>
        <v>Mark 3:31-4:9</v>
      </c>
      <c r="H66" s="113" t="str">
        <f>IF(ISBLANK(BG7),IF(MOD(A7,2),LOOKUP(E66,AK7:AN182),LOOKUP(E66,AU:AX)),IF(C27&gt;2,LOOKUP(E66,BE:BH),IF(C27=2,LOOKUP(E66,AU:AX),LOOKUP(E66,AK:AN))))</f>
        <v>John 4:27-42</v>
      </c>
      <c r="I66" s="113" t="str">
        <f>IF(ISBLANK(BG7),IF(MOD(A7,2),LOOKUP(E66,AK7:AO182),LOOKUP(E66,AU:AY)),IF(C27&gt;2,LOOKUP(E66,BE:BI),IF(C27=2,LOOKUP(E66,AU:AY),LOOKUP(E66,AK:AO))))</f>
        <v>John 4:43-54</v>
      </c>
      <c r="J66" s="113" t="str">
        <f>IF(ISBLANK(BG7),IF(MOD(A7,2),LOOKUP(E66,AK7:AP182),LOOKUP(E66,AU:AZ)),IF(C27&gt;2,LOOKUP(E66,BE:BJ),IF(C27=2,LOOKUP(E66,AU:AZ),LOOKUP(E66,AK:AP))))</f>
        <v>John 5:1-18</v>
      </c>
      <c r="K66" s="113" t="str">
        <f>IF(ISBLANK(BG7),IF(MOD(A7,2),LOOKUP(E66,AK7:AQ182),LOOKUP(E66,AU:BA)),IF(C27&gt;2,LOOKUP(E66,BE:BK),IF(C27=2,LOOKUP(E66,AU:BA),LOOKUP(E66,AK:AQ))))</f>
        <v>John 5:19-29</v>
      </c>
      <c r="L66" s="113" t="str">
        <f>IF(ISBLANK(BG7),IF(MOD(A7,2),LOOKUP(E66,AK7:AR182),LOOKUP(E66,AU:BB)),IF(C27&gt;2,LOOKUP(E66,BE:BL),IF(C27=2,LOOKUP(E66,AU:BB),LOOKUP(E66,AK:AR))))</f>
        <v>John 5:30-47</v>
      </c>
      <c r="M66" s="113" t="str">
        <f>IF(ISBLANK(BG7),IF(MOD(A7,2),LOOKUP(E66,AK7:AS182),LOOKUP(E66,AU:BC)),IF(C27&gt;2,LOOKUP(E66,BE:BM),IF(C27=2,LOOKUP(E66,AU:BC),LOOKUP(E66,AK:AS))))</f>
        <v>John 7:1-13</v>
      </c>
      <c r="N66" s="253"/>
      <c r="O66" s="78"/>
      <c r="R66" s="59"/>
      <c r="S66" s="59"/>
      <c r="T66" s="59"/>
      <c r="X66" s="59"/>
      <c r="Z66" s="12"/>
      <c r="AB66" s="59"/>
      <c r="AD66" s="59"/>
      <c r="AG66" s="59"/>
      <c r="AH66" s="59"/>
      <c r="AI66" s="59" t="s">
        <v>1262</v>
      </c>
      <c r="AK66" s="2">
        <v>60</v>
      </c>
      <c r="AL66" s="13" t="s">
        <v>1263</v>
      </c>
      <c r="AM66" s="64" t="s">
        <v>1219</v>
      </c>
      <c r="AN66" s="64" t="s">
        <v>1264</v>
      </c>
      <c r="AO66" s="63" t="s">
        <v>1265</v>
      </c>
      <c r="AP66" s="64" t="s">
        <v>1266</v>
      </c>
      <c r="AQ66" s="63" t="s">
        <v>1267</v>
      </c>
      <c r="AR66" s="64" t="s">
        <v>1268</v>
      </c>
      <c r="AS66" s="144" t="s">
        <v>1269</v>
      </c>
      <c r="AU66" s="2">
        <v>60</v>
      </c>
      <c r="AV66" s="13" t="s">
        <v>1263</v>
      </c>
      <c r="AW66" s="67" t="s">
        <v>1270</v>
      </c>
      <c r="AX66" s="66" t="s">
        <v>1271</v>
      </c>
      <c r="AY66" s="67" t="s">
        <v>1272</v>
      </c>
      <c r="AZ66" s="66" t="s">
        <v>1273</v>
      </c>
      <c r="BA66" s="67" t="s">
        <v>1274</v>
      </c>
      <c r="BB66" s="66" t="s">
        <v>1275</v>
      </c>
      <c r="BC66" s="67" t="s">
        <v>1276</v>
      </c>
      <c r="BE66" s="2">
        <v>60</v>
      </c>
      <c r="BF66" s="13" t="s">
        <v>1263</v>
      </c>
      <c r="BG66" s="68" t="s">
        <v>1277</v>
      </c>
      <c r="BH66" s="69" t="s">
        <v>1278</v>
      </c>
      <c r="BI66" s="68" t="s">
        <v>1279</v>
      </c>
      <c r="BJ66" s="69" t="s">
        <v>1280</v>
      </c>
      <c r="BK66" s="69" t="s">
        <v>1281</v>
      </c>
      <c r="BL66" s="69" t="s">
        <v>1282</v>
      </c>
      <c r="BM66" s="69" t="s">
        <v>1283</v>
      </c>
    </row>
    <row r="67" spans="2:65" ht="12.75">
      <c r="B67" s="4"/>
      <c r="C67" s="4"/>
      <c r="D67" s="254">
        <f>B13-28</f>
        <v>41336</v>
      </c>
      <c r="E67" s="73">
        <v>59</v>
      </c>
      <c r="F67" s="246" t="s">
        <v>1284</v>
      </c>
      <c r="G67" s="107" t="str">
        <f>IF(ISBLANK(BG7),IF(MOD(A7,2),LOOKUP(E67,AK7:AM182),LOOKUP(E67,AU:AW)),IF(C27&gt;2,LOOKUP(E67,BE:BG),IF(C27=2,LOOKUP(E67,AU:AW),LOOKUP(E67,AK:AM))))</f>
        <v>Jeremiah 6:9-15,</v>
      </c>
      <c r="H67" s="108" t="str">
        <f>IF(ISBLANK(BG7),IF(MOD(A7,2),LOOKUP(E67,AK7:AN182),LOOKUP(E67,AU:AX)),IF(C27&gt;2,LOOKUP(E67,BE:BH),IF(C27=2,LOOKUP(E67,AU:AX),LOOKUP(E67,AK:AN))))</f>
        <v>Jeremiah 7:1-15,</v>
      </c>
      <c r="I67" s="108" t="str">
        <f>IF(ISBLANK(BG7),IF(MOD(A7,2),LOOKUP(E67,AK7:AO182),LOOKUP(E67,AU:AY)),IF(C27&gt;2,LOOKUP(E67,BE:BI),IF(C27=2,LOOKUP(E67,AU:AY),LOOKUP(E67,AK:AO))))</f>
        <v>Jeremiah 7:21-34,</v>
      </c>
      <c r="J67" s="108" t="str">
        <f>IF(ISBLANK(BG7),IF(MOD(A7,2),LOOKUP(E67,AK7:AP182),LOOKUP(E67,AU:AZ)),IF(C27&gt;2,LOOKUP(E67,BE:BJ),IF(C27=2,LOOKUP(E67,AU:AZ),LOOKUP(E67,AK:AP))))</f>
        <v>Jeremiah 8:4-7, 18-9:6,</v>
      </c>
      <c r="K67" s="108" t="str">
        <f>IF(ISBLANK(BG7),IF(MOD(A7,2),LOOKUP(E67,AK7:AQ182),LOOKUP(E67,AU:BA)),IF(C27&gt;2,LOOKUP(E67,BE:BK),IF(C27=2,LOOKUP(E67,AU:BA),LOOKUP(E67,AK:AQ))))</f>
        <v>Jeremiah 10:11-24,</v>
      </c>
      <c r="L67" s="108" t="str">
        <f>IF(ISBLANK(BG7),IF(MOD(A7,2),LOOKUP(E67,AK7:AR182),LOOKUP(E67,AU:BB)),IF(C27&gt;2,LOOKUP(E67,BE:BL),IF(C27=2,LOOKUP(E67,AU:BB),LOOKUP(E67,AK:AR))))</f>
        <v>Jeremiah 11:1-8, 14-17,</v>
      </c>
      <c r="M67" s="108" t="str">
        <f>IF(ISBLANK(BG7),IF(MOD(A7,2),LOOKUP(E67,AK7:AS182),LOOKUP(E67,AU:BC)),IF(C27&gt;2,LOOKUP(E67,BE:BM),IF(C27=2,LOOKUP(E67,AU:BC),LOOKUP(E67,AK:AS))))</f>
        <v>Jeremiah 13:1-11,</v>
      </c>
      <c r="N67" s="251" t="s">
        <v>1284</v>
      </c>
      <c r="O67" s="56">
        <f>D67</f>
        <v>41336</v>
      </c>
      <c r="R67" s="59"/>
      <c r="Z67" s="12"/>
      <c r="AI67" s="59">
        <f>IF(AND(AI41&gt;=AI56,B7="Leap Year"),AI59,AI59+1)</f>
        <v>41302</v>
      </c>
      <c r="AK67" s="2">
        <v>61</v>
      </c>
      <c r="AL67" s="13" t="s">
        <v>1285</v>
      </c>
      <c r="AM67" s="102" t="s">
        <v>658</v>
      </c>
      <c r="AN67" s="102" t="s">
        <v>792</v>
      </c>
      <c r="AO67" s="101" t="s">
        <v>375</v>
      </c>
      <c r="AP67" s="102" t="s">
        <v>855</v>
      </c>
      <c r="AQ67" s="101" t="s">
        <v>856</v>
      </c>
      <c r="AR67" s="102" t="s">
        <v>857</v>
      </c>
      <c r="AS67" s="249" t="s">
        <v>858</v>
      </c>
      <c r="AU67" s="2">
        <v>61</v>
      </c>
      <c r="AV67" s="13" t="s">
        <v>1285</v>
      </c>
      <c r="AW67" s="67" t="s">
        <v>1286</v>
      </c>
      <c r="AX67" s="66" t="s">
        <v>716</v>
      </c>
      <c r="AY67" s="67" t="s">
        <v>717</v>
      </c>
      <c r="AZ67" s="66" t="s">
        <v>718</v>
      </c>
      <c r="BA67" s="67" t="s">
        <v>719</v>
      </c>
      <c r="BB67" s="66" t="s">
        <v>720</v>
      </c>
      <c r="BC67" s="67" t="s">
        <v>721</v>
      </c>
      <c r="BE67" s="2">
        <v>61</v>
      </c>
      <c r="BF67" s="13" t="s">
        <v>1285</v>
      </c>
      <c r="BG67" s="68" t="s">
        <v>1287</v>
      </c>
      <c r="BH67" s="69" t="s">
        <v>1288</v>
      </c>
      <c r="BI67" s="68" t="s">
        <v>1289</v>
      </c>
      <c r="BJ67" s="69" t="s">
        <v>1290</v>
      </c>
      <c r="BK67" s="69" t="s">
        <v>1291</v>
      </c>
      <c r="BL67" s="69" t="s">
        <v>1292</v>
      </c>
      <c r="BM67" s="69" t="s">
        <v>1293</v>
      </c>
    </row>
    <row r="68" spans="2:65" ht="12.75">
      <c r="B68" s="4"/>
      <c r="C68" s="4"/>
      <c r="D68" s="138"/>
      <c r="E68" s="73">
        <v>60</v>
      </c>
      <c r="F68" s="250"/>
      <c r="G68" s="255" t="str">
        <f>IF(ISBLANK(BG7),IF(MOD(A7,2),LOOKUP(E68,AK7:AM182),LOOKUP(E68,AU:AW)),IF(C27&gt;2,LOOKUP(E68,BE:BG),IF(C27=2,LOOKUP(E68,AU:AW),LOOKUP(E68,AK:AM))))</f>
        <v>1 Corinthians 6:12-20,</v>
      </c>
      <c r="H68" s="111" t="str">
        <f>IF(ISBLANK(BG7),IF(MOD(A7,2),LOOKUP(E68,AK7:AN182),LOOKUP(E68,AU:AX)),IF(C27&gt;2,LOOKUP(E68,BE:BH),IF(C27=2,LOOKUP(E68,AU:AX),LOOKUP(E68,AK:AN))))</f>
        <v>Romans 4:1-12,</v>
      </c>
      <c r="I68" s="111" t="str">
        <f>IF(ISBLANK(BG7),IF(MOD(A7,2),LOOKUP(E68,AK7:AO182),LOOKUP(E68,AU:AY)),IF(C27&gt;2,LOOKUP(E68,BE:BI),IF(C27=2,LOOKUP(E68,AU:AY),LOOKUP(E68,AK:AO))))</f>
        <v>Romans 4:13-25,</v>
      </c>
      <c r="J68" s="111" t="str">
        <f>IF(ISBLANK(BG7),IF(MOD(A7,2),LOOKUP(E68,AK7:AP182),LOOKUP(E68,AU:AZ)),IF(C27&gt;2,LOOKUP(E68,BE:BJ),IF(C27=2,LOOKUP(E68,AU:AZ),LOOKUP(E68,AK:AP))))</f>
        <v>Romans 5:1-11,</v>
      </c>
      <c r="K68" s="111" t="str">
        <f>IF(ISBLANK(BG7),IF(MOD(A7,2),LOOKUP(E68,AK7:AQ182),LOOKUP(E68,AU:BA)),IF(C27&gt;2,LOOKUP(E68,BE:BK),IF(C27=2,LOOKUP(E68,AU:BA),LOOKUP(E68,AK:AQ))))</f>
        <v>Romans 5:12-21,</v>
      </c>
      <c r="L68" s="111" t="str">
        <f>IF(ISBLANK(BG7),IF(MOD(A7,2),LOOKUP(E68,AK7:AR182),LOOKUP(E68,AU:BB)),IF(C27&gt;2,LOOKUP(E68,BE:BL),IF(C27=2,LOOKUP(E68,AU:BB),LOOKUP(E68,AK:AR))))</f>
        <v>Romans 6:1-11,</v>
      </c>
      <c r="M68" s="111" t="str">
        <f>IF(ISBLANK(BG7),IF(MOD(A7,2),LOOKUP(E68,AK7:AS182),LOOKUP(E68,AU:BC)),IF(C27&gt;2,LOOKUP(E68,BE:BM),IF(C27=2,LOOKUP(E68,AU:BC),LOOKUP(E68,AK:AS))))</f>
        <v>Romans 6:12-23,</v>
      </c>
      <c r="N68" s="251"/>
      <c r="O68" s="78"/>
      <c r="Z68" s="12"/>
      <c r="AI68" s="257"/>
      <c r="AK68" s="2">
        <v>62</v>
      </c>
      <c r="AL68" s="245" t="s">
        <v>1294</v>
      </c>
      <c r="AM68" s="64" t="s">
        <v>1295</v>
      </c>
      <c r="AN68" s="64" t="s">
        <v>1296</v>
      </c>
      <c r="AO68" s="63" t="s">
        <v>1297</v>
      </c>
      <c r="AP68" s="64" t="s">
        <v>1298</v>
      </c>
      <c r="AQ68" s="63" t="s">
        <v>1299</v>
      </c>
      <c r="AR68" s="64" t="s">
        <v>494</v>
      </c>
      <c r="AS68" s="144" t="s">
        <v>1300</v>
      </c>
      <c r="AU68" s="2">
        <v>62</v>
      </c>
      <c r="AV68" s="245" t="s">
        <v>1294</v>
      </c>
      <c r="AW68" s="91" t="s">
        <v>1301</v>
      </c>
      <c r="AX68" s="90" t="s">
        <v>1302</v>
      </c>
      <c r="AY68" s="91" t="s">
        <v>1303</v>
      </c>
      <c r="AZ68" s="90" t="s">
        <v>1304</v>
      </c>
      <c r="BA68" s="91" t="s">
        <v>1305</v>
      </c>
      <c r="BB68" s="90" t="s">
        <v>1306</v>
      </c>
      <c r="BC68" s="91" t="s">
        <v>1307</v>
      </c>
      <c r="BE68" s="2">
        <v>62</v>
      </c>
      <c r="BF68" s="245" t="s">
        <v>1294</v>
      </c>
      <c r="BG68" s="68" t="s">
        <v>1308</v>
      </c>
      <c r="BH68" s="69" t="s">
        <v>1309</v>
      </c>
      <c r="BI68" s="68" t="s">
        <v>1310</v>
      </c>
      <c r="BJ68" s="69" t="s">
        <v>1311</v>
      </c>
      <c r="BK68" s="69" t="s">
        <v>1312</v>
      </c>
      <c r="BL68" s="69" t="s">
        <v>1313</v>
      </c>
      <c r="BM68" s="69" t="s">
        <v>1314</v>
      </c>
    </row>
    <row r="69" spans="2:65" ht="12.75">
      <c r="B69" s="4"/>
      <c r="C69" s="4"/>
      <c r="D69" s="256"/>
      <c r="E69" s="73">
        <v>61</v>
      </c>
      <c r="F69" s="258"/>
      <c r="G69" s="259" t="str">
        <f>IF(ISBLANK(BG7),IF(MOD(A7,2),LOOKUP(E69,AK7:AM182),LOOKUP(E69,AU:AW)),IF(C27&gt;2,LOOKUP(E69,BE:BG),IF(C27=2,LOOKUP(E69,AU:AW),LOOKUP(E69,AK:AM))))</f>
        <v>Mark 5:1-20</v>
      </c>
      <c r="H69" s="260" t="str">
        <f>IF(ISBLANK(BG7),IF(MOD(A7,2),LOOKUP(E69,AK7:AN182),LOOKUP(E69,AU:AX)),IF(C27&gt;2,LOOKUP(E69,BE:BH),IF(C27=2,LOOKUP(E69,AU:AX),LOOKUP(E69,AK:AN))))</f>
        <v>John 7:14-36</v>
      </c>
      <c r="I69" s="260" t="str">
        <f>IF(ISBLANK(BG7),IF(MOD(A7,2),LOOKUP(E69,AK7:AO182),LOOKUP(E69,AU:AY)),IF(C27&gt;2,LOOKUP(E69,BE:BI),IF(C27=2,LOOKUP(E69,AU:AY),LOOKUP(E69,AK:AO))))</f>
        <v>John 7:37-52</v>
      </c>
      <c r="J69" s="260" t="str">
        <f>IF(ISBLANK(BG7),IF(MOD(A7,2),LOOKUP(E69,AK7:AP182),LOOKUP(E69,AU:AZ)),IF(C27&gt;2,LOOKUP(E69,BE:BJ),IF(C27=2,LOOKUP(E69,AU:AZ),LOOKUP(E69,AK:AP))))</f>
        <v>John 8:12-20</v>
      </c>
      <c r="K69" s="260" t="str">
        <f>IF(ISBLANK(BG7),IF(MOD(A7,2),LOOKUP(E69,AK7:AQ182),LOOKUP(E69,AU:BA)),IF(C27&gt;2,LOOKUP(E69,BE:BK),IF(C27=2,LOOKUP(E69,AU:BA),LOOKUP(E69,AK:AQ))))</f>
        <v>John 8:21-32</v>
      </c>
      <c r="L69" s="260" t="str">
        <f>IF(ISBLANK(BG7),IF(MOD(A7,2),LOOKUP(E69,AK7:AR182),LOOKUP(E69,AU:BB)),IF(C27&gt;2,LOOKUP(E69,BE:BL),IF(C27=2,LOOKUP(E69,AU:BB),LOOKUP(E69,AK:AR))))</f>
        <v>John 8:33-47</v>
      </c>
      <c r="M69" s="260" t="str">
        <f>IF(ISBLANK(BG7),IF(MOD(A7,2),LOOKUP(E69,AK7:AS182),LOOKUP(E69,AU:BC)),IF(C27&gt;2,LOOKUP(E69,BE:BM),IF(C27=2,LOOKUP(E69,AU:BC),LOOKUP(E69,AK:AS))))</f>
        <v>John 8:47-59</v>
      </c>
      <c r="N69" s="251"/>
      <c r="O69" s="99"/>
      <c r="R69" s="59"/>
      <c r="Z69" s="12"/>
      <c r="AI69" s="2" t="s">
        <v>998</v>
      </c>
      <c r="AK69" s="2">
        <v>63</v>
      </c>
      <c r="AL69" s="13" t="s">
        <v>1315</v>
      </c>
      <c r="AM69" s="64" t="s">
        <v>1316</v>
      </c>
      <c r="AN69" s="64" t="s">
        <v>1317</v>
      </c>
      <c r="AO69" s="63" t="s">
        <v>1318</v>
      </c>
      <c r="AP69" s="64" t="s">
        <v>1319</v>
      </c>
      <c r="AQ69" s="63" t="s">
        <v>1320</v>
      </c>
      <c r="AR69" s="64" t="s">
        <v>1321</v>
      </c>
      <c r="AS69" s="144" t="s">
        <v>1322</v>
      </c>
      <c r="AU69" s="2">
        <v>63</v>
      </c>
      <c r="AV69" s="13" t="s">
        <v>1315</v>
      </c>
      <c r="AW69" s="67" t="s">
        <v>1323</v>
      </c>
      <c r="AX69" s="66" t="s">
        <v>1324</v>
      </c>
      <c r="AY69" s="67" t="s">
        <v>1325</v>
      </c>
      <c r="AZ69" s="66" t="s">
        <v>1326</v>
      </c>
      <c r="BA69" s="67" t="s">
        <v>1327</v>
      </c>
      <c r="BB69" s="66" t="s">
        <v>1328</v>
      </c>
      <c r="BC69" s="67" t="s">
        <v>1329</v>
      </c>
      <c r="BE69" s="2">
        <v>63</v>
      </c>
      <c r="BF69" s="13" t="s">
        <v>1315</v>
      </c>
      <c r="BG69" s="68" t="s">
        <v>1330</v>
      </c>
      <c r="BH69" s="69" t="s">
        <v>1331</v>
      </c>
      <c r="BI69" s="68" t="s">
        <v>1332</v>
      </c>
      <c r="BJ69" s="69" t="s">
        <v>1333</v>
      </c>
      <c r="BK69" s="69" t="s">
        <v>1334</v>
      </c>
      <c r="BL69" s="69" t="s">
        <v>1335</v>
      </c>
      <c r="BM69" s="69" t="s">
        <v>1336</v>
      </c>
    </row>
    <row r="70" spans="2:65" ht="12.75">
      <c r="B70" s="4"/>
      <c r="C70" s="4"/>
      <c r="D70" s="138">
        <f>B13-21</f>
        <v>41343</v>
      </c>
      <c r="E70" s="261">
        <v>62</v>
      </c>
      <c r="F70" s="262" t="s">
        <v>1337</v>
      </c>
      <c r="G70" s="263" t="str">
        <f>IF(ISBLANK(BG7),IF(MOD(A7,2),LOOKUP(E70,AK7:AM182),LOOKUP(E70,AU:AW)),IF(C27&gt;2,LOOKUP(E70,BE:BG),IF(C27=2,LOOKUP(E70,AU:AW),LOOKUP(E70,AK:AM))))</f>
        <v>Jeremiah 14:1-9 (10-16) 17-22,</v>
      </c>
      <c r="H70" s="264" t="str">
        <f>IF(ISBLANK(BG7),IF(MOD(A7,2),LOOKUP(E70,AK7:AN182),LOOKUP(E70,AU:AX)),IF(C27&gt;2,LOOKUP(E70,BE:BH),IF(C27=2,LOOKUP(E70,AU:AX),LOOKUP(E70,AK:AN))))</f>
        <v>Jeremiah 16:(1-9) 10-21,</v>
      </c>
      <c r="I70" s="264" t="str">
        <f>IF(ISBLANK(BG7),IF(MOD(A7,2),LOOKUP(E70,AK7:AO182),LOOKUP(E70,AU:AY)),IF(C27&gt;2,LOOKUP(E70,BE:BI),IF(C27=2,LOOKUP(E70,AU:AY),LOOKUP(E70,AK:AO))))</f>
        <v>Jeremiah 17:19-27,</v>
      </c>
      <c r="J70" s="264" t="str">
        <f>IF(ISBLANK(BG7),IF(MOD(A7,2),LOOKUP(E70,AK7:AP182),LOOKUP(E70,AU:AZ)),IF(C27&gt;2,LOOKUP(E70,BE:BJ),IF(C27=2,LOOKUP(E70,AU:AZ),LOOKUP(E70,AK:AP))))</f>
        <v>Jeremiah 18:1-11,</v>
      </c>
      <c r="K70" s="264" t="str">
        <f>IF(ISBLANK(BG7),IF(MOD(A7,2),LOOKUP(E70,AK7:AQ182),LOOKUP(E70,AU:BA)),IF(C27&gt;2,LOOKUP(E70,BE:BK),IF(C27=2,LOOKUP(E70,AU:BA),LOOKUP(E70,AK:AQ))))</f>
        <v>Jeremiah 22:13-23,</v>
      </c>
      <c r="L70" s="264" t="str">
        <f>IF(ISBLANK(BG7),IF(MOD(A7,2),LOOKUP(E70,AK7:AR182),LOOKUP(E70,AU:BB)),IF(C27&gt;2,LOOKUP(E70,BE:BL),IF(C27=2,LOOKUP(E70,AU:BB),LOOKUP(E70,AK:AR))))</f>
        <v>Jeremiah 23:1-8,</v>
      </c>
      <c r="M70" s="264" t="str">
        <f>IF(ISBLANK(BG7),IF(MOD(A7,2),LOOKUP(E70,AK7:AS182),LOOKUP(E70,AU:BC)),IF(C27&gt;2,LOOKUP(E70,BE:BM),IF(C27=2,LOOKUP(E70,AU:BC),LOOKUP(E70,AK:AS))))</f>
        <v>Jeremiah 23:9-15,</v>
      </c>
      <c r="N70" s="265" t="s">
        <v>1337</v>
      </c>
      <c r="O70" s="56">
        <f>D70</f>
        <v>41343</v>
      </c>
      <c r="R70" s="59"/>
      <c r="Z70" s="12"/>
      <c r="AI70" s="59">
        <f>LOOKUP(A7,P6:R85)</f>
        <v>41364</v>
      </c>
      <c r="AK70" s="2">
        <v>64</v>
      </c>
      <c r="AL70" s="248" t="s">
        <v>1338</v>
      </c>
      <c r="AM70" s="64" t="s">
        <v>1339</v>
      </c>
      <c r="AN70" s="64" t="s">
        <v>726</v>
      </c>
      <c r="AO70" s="63" t="s">
        <v>727</v>
      </c>
      <c r="AP70" s="64" t="s">
        <v>787</v>
      </c>
      <c r="AQ70" s="63" t="s">
        <v>788</v>
      </c>
      <c r="AR70" s="64" t="s">
        <v>789</v>
      </c>
      <c r="AS70" s="144" t="s">
        <v>790</v>
      </c>
      <c r="AU70" s="2">
        <v>64</v>
      </c>
      <c r="AV70" s="248" t="s">
        <v>1338</v>
      </c>
      <c r="AW70" s="104" t="s">
        <v>787</v>
      </c>
      <c r="AX70" s="103" t="s">
        <v>780</v>
      </c>
      <c r="AY70" s="104" t="s">
        <v>781</v>
      </c>
      <c r="AZ70" s="103" t="s">
        <v>782</v>
      </c>
      <c r="BA70" s="104" t="s">
        <v>783</v>
      </c>
      <c r="BB70" s="103" t="s">
        <v>784</v>
      </c>
      <c r="BC70" s="104" t="s">
        <v>785</v>
      </c>
      <c r="BE70" s="2">
        <v>64</v>
      </c>
      <c r="BF70" s="248" t="s">
        <v>1338</v>
      </c>
      <c r="BG70" s="68" t="s">
        <v>1340</v>
      </c>
      <c r="BH70" s="69" t="s">
        <v>1341</v>
      </c>
      <c r="BI70" s="68" t="s">
        <v>1342</v>
      </c>
      <c r="BJ70" s="69" t="s">
        <v>1343</v>
      </c>
      <c r="BK70" s="69" t="s">
        <v>1344</v>
      </c>
      <c r="BL70" s="69" t="s">
        <v>1345</v>
      </c>
      <c r="BM70" s="69" t="s">
        <v>1346</v>
      </c>
    </row>
    <row r="71" spans="2:65" ht="12.75">
      <c r="B71" s="4"/>
      <c r="C71" s="4"/>
      <c r="D71" s="138"/>
      <c r="E71" s="73">
        <v>63</v>
      </c>
      <c r="F71" s="250"/>
      <c r="G71" s="255" t="str">
        <f>IF(ISBLANK(BG7),IF(MOD(A7,2),LOOKUP(E71,AK7:AM182),LOOKUP(E71,AU:AW)),IF(C27&gt;2,LOOKUP(E71,BE:BG),IF(C27=2,LOOKUP(E71,AU:AW),LOOKUP(E71,AK:AM))))</f>
        <v>Galatians 4:21-5:1,</v>
      </c>
      <c r="H71" s="111" t="str">
        <f>IF(ISBLANK(BG7),IF(MOD(A7,2),LOOKUP(E71,AK7:AN182),LOOKUP(E71,AU:AX)),IF(C27&gt;2,LOOKUP(E71,BE:BH),IF(C27=2,LOOKUP(E71,AU:AX),LOOKUP(E71,AK:AN))))</f>
        <v>Romans 7:1-12,</v>
      </c>
      <c r="I71" s="111" t="str">
        <f>IF(ISBLANK(BG7),IF(MOD(A7,2),LOOKUP(E71,AK7:AO182),LOOKUP(E71,AU:AY)),IF(C27&gt;2,LOOKUP(E71,BE:BI),IF(C27=2,LOOKUP(E71,AU:AY),LOOKUP(E71,AK:AO))))</f>
        <v>Romans 7:13-25,</v>
      </c>
      <c r="J71" s="111" t="str">
        <f>IF(ISBLANK(BG7),IF(MOD(A7,2),LOOKUP(E71,AK7:AP182),LOOKUP(E71,AU:AZ)),IF(C27&gt;2,LOOKUP(E71,BE:BJ),IF(C27=2,LOOKUP(E71,AU:AZ),LOOKUP(E71,AK:AP))))</f>
        <v>Romans 8:1-11,</v>
      </c>
      <c r="K71" s="111" t="str">
        <f>IF(ISBLANK(BG7),IF(MOD(A7,2),LOOKUP(E71,AK7:AQ182),LOOKUP(E71,AU:BA)),IF(C27&gt;2,LOOKUP(E71,BE:BK),IF(C27=2,LOOKUP(E71,AU:BA),LOOKUP(E71,AK:AQ))))</f>
        <v>Romans 8:12-27,</v>
      </c>
      <c r="L71" s="111" t="str">
        <f>IF(ISBLANK(BG7),IF(MOD(A7,2),LOOKUP(E71,AK7:AR182),LOOKUP(E71,AU:BB)),IF(C27&gt;2,LOOKUP(E71,BE:BL),IF(C27=2,LOOKUP(E71,AU:BB),LOOKUP(E71,AK:AR))))</f>
        <v>Romans 8:28-39,</v>
      </c>
      <c r="M71" s="111" t="str">
        <f>IF(ISBLANK(BG7),IF(MOD(A7,2),LOOKUP(E71,AK7:AS182),LOOKUP(E71,AU:BC)),IF(C27&gt;2,LOOKUP(E71,BE:BM),IF(C27=2,LOOKUP(E71,AU:BC),LOOKUP(E71,AK:AS))))</f>
        <v>Romans 9:1-18,</v>
      </c>
      <c r="N71" s="251"/>
      <c r="O71" s="78"/>
      <c r="Z71" s="12"/>
      <c r="AI71" s="2" t="s">
        <v>1347</v>
      </c>
      <c r="AK71" s="2">
        <v>65</v>
      </c>
      <c r="AL71" s="13" t="s">
        <v>1348</v>
      </c>
      <c r="AM71" s="89" t="s">
        <v>1349</v>
      </c>
      <c r="AN71" s="89" t="s">
        <v>1350</v>
      </c>
      <c r="AO71" s="88" t="s">
        <v>1351</v>
      </c>
      <c r="AP71" s="89" t="s">
        <v>1352</v>
      </c>
      <c r="AQ71" s="88" t="s">
        <v>1353</v>
      </c>
      <c r="AR71" s="89" t="s">
        <v>1354</v>
      </c>
      <c r="AS71" s="242" t="s">
        <v>1355</v>
      </c>
      <c r="AU71" s="2">
        <v>65</v>
      </c>
      <c r="AV71" s="13" t="s">
        <v>1348</v>
      </c>
      <c r="AW71" s="67" t="s">
        <v>1356</v>
      </c>
      <c r="AX71" s="66" t="s">
        <v>1357</v>
      </c>
      <c r="AY71" s="67" t="s">
        <v>1358</v>
      </c>
      <c r="AZ71" s="66" t="s">
        <v>1359</v>
      </c>
      <c r="BA71" s="67" t="s">
        <v>1360</v>
      </c>
      <c r="BB71" s="66" t="s">
        <v>1361</v>
      </c>
      <c r="BC71" s="67" t="s">
        <v>1362</v>
      </c>
      <c r="BE71" s="2">
        <v>65</v>
      </c>
      <c r="BF71" s="13" t="s">
        <v>1348</v>
      </c>
      <c r="BG71" s="68" t="s">
        <v>1363</v>
      </c>
      <c r="BH71" s="69" t="s">
        <v>1364</v>
      </c>
      <c r="BI71" s="68" t="s">
        <v>1365</v>
      </c>
      <c r="BJ71" s="69" t="s">
        <v>1366</v>
      </c>
      <c r="BK71" s="69" t="s">
        <v>1367</v>
      </c>
      <c r="BL71" s="69" t="s">
        <v>1368</v>
      </c>
      <c r="BM71" s="69" t="s">
        <v>1369</v>
      </c>
    </row>
    <row r="72" spans="2:65" ht="12.75">
      <c r="B72" s="4"/>
      <c r="C72" s="4"/>
      <c r="D72" s="138"/>
      <c r="E72" s="266">
        <v>64</v>
      </c>
      <c r="F72" s="258"/>
      <c r="G72" s="259" t="str">
        <f>IF(ISBLANK(BG7),IF(MOD(A7,2),LOOKUP(E72,AK7:AM182),LOOKUP(E72,AU:AW)),IF(C27&gt;2,LOOKUP(E72,BE:BG),IF(C27=2,LOOKUP(E72,AU:AW),LOOKUP(E72,AK:AM))))</f>
        <v>Mark 8:11-21</v>
      </c>
      <c r="H72" s="260" t="str">
        <f>IF(ISBLANK(BG7),IF(MOD(A7,2),LOOKUP(E72,AK7:AN182),LOOKUP(E72,AU:AX)),IF(C27&gt;2,LOOKUP(E72,BE:BH),IF(C27=2,LOOKUP(E72,AU:AX),LOOKUP(E72,AK:AN))))</f>
        <v>John 6:1-15</v>
      </c>
      <c r="I72" s="260" t="str">
        <f>IF(ISBLANK(BG7),IF(MOD(A7,2),LOOKUP(E72,AK7:AO182),LOOKUP(E72,AU:AY)),IF(C27&gt;2,LOOKUP(E72,BE:BI),IF(C27=2,LOOKUP(E72,AU:AY),LOOKUP(E72,AK:AO))))</f>
        <v>John 6:16-27</v>
      </c>
      <c r="J72" s="260" t="str">
        <f>IF(ISBLANK(BG7),IF(MOD(A7,2),LOOKUP(E72,AK7:AP182),LOOKUP(E72,AU:AZ)),IF(C27&gt;2,LOOKUP(E72,BE:BJ),IF(C27=2,LOOKUP(E72,AU:AZ),LOOKUP(E72,AK:AP))))</f>
        <v>John 6:27-40</v>
      </c>
      <c r="K72" s="260" t="str">
        <f>IF(ISBLANK(BG7),IF(MOD(A7,2),LOOKUP(E72,AK7:AQ182),LOOKUP(E72,AU:BA)),IF(C27&gt;2,LOOKUP(E72,BE:BK),IF(C27=2,LOOKUP(E72,AU:BA),LOOKUP(E72,AK:AQ))))</f>
        <v>John 6:41-51</v>
      </c>
      <c r="L72" s="260" t="str">
        <f>IF(ISBLANK(BG7),IF(MOD(A7,2),LOOKUP(E72,AK7:AR182),LOOKUP(E72,AU:BB)),IF(C27&gt;2,LOOKUP(E72,BE:BL),IF(C27=2,LOOKUP(E72,AU:BB),LOOKUP(E72,AK:AR))))</f>
        <v>John 6:52-59</v>
      </c>
      <c r="M72" s="260" t="str">
        <f>IF(ISBLANK(BG7),IF(MOD(A7,2),LOOKUP(E72,AK7:AS182),LOOKUP(E72,AU:BC)),IF(C27&gt;2,LOOKUP(E72,BE:BM),IF(C27=2,LOOKUP(E72,AU:BC),LOOKUP(E72,AK:AS))))</f>
        <v>John 6:60-71</v>
      </c>
      <c r="N72" s="267"/>
      <c r="O72" s="99"/>
      <c r="R72" s="59"/>
      <c r="Z72" s="12"/>
      <c r="AI72" s="59">
        <f>AI70+1</f>
        <v>41365</v>
      </c>
      <c r="AK72" s="2">
        <v>66</v>
      </c>
      <c r="AL72" s="13" t="s">
        <v>1370</v>
      </c>
      <c r="AM72" s="64" t="s">
        <v>1371</v>
      </c>
      <c r="AN72" s="64" t="s">
        <v>1372</v>
      </c>
      <c r="AO72" s="63" t="s">
        <v>1373</v>
      </c>
      <c r="AP72" s="64" t="s">
        <v>1374</v>
      </c>
      <c r="AQ72" s="63" t="s">
        <v>1375</v>
      </c>
      <c r="AR72" s="64" t="s">
        <v>1376</v>
      </c>
      <c r="AS72" s="144" t="s">
        <v>1377</v>
      </c>
      <c r="AU72" s="2">
        <v>66</v>
      </c>
      <c r="AV72" s="13" t="s">
        <v>1370</v>
      </c>
      <c r="AW72" s="67" t="s">
        <v>1378</v>
      </c>
      <c r="AX72" s="66" t="s">
        <v>1379</v>
      </c>
      <c r="AY72" s="67" t="s">
        <v>1380</v>
      </c>
      <c r="AZ72" s="66" t="s">
        <v>1381</v>
      </c>
      <c r="BA72" s="67" t="s">
        <v>1097</v>
      </c>
      <c r="BB72" s="66" t="s">
        <v>962</v>
      </c>
      <c r="BC72" s="67" t="s">
        <v>1382</v>
      </c>
      <c r="BE72" s="2">
        <v>66</v>
      </c>
      <c r="BF72" s="13" t="s">
        <v>1370</v>
      </c>
      <c r="BG72" s="68" t="s">
        <v>1383</v>
      </c>
      <c r="BH72" s="69" t="s">
        <v>1384</v>
      </c>
      <c r="BI72" s="68" t="s">
        <v>1385</v>
      </c>
      <c r="BJ72" s="69" t="s">
        <v>1386</v>
      </c>
      <c r="BK72" s="69" t="s">
        <v>1387</v>
      </c>
      <c r="BL72" s="69" t="s">
        <v>1388</v>
      </c>
      <c r="BM72" s="69" t="s">
        <v>1389</v>
      </c>
    </row>
    <row r="73" spans="2:65" ht="12.75">
      <c r="B73" s="4"/>
      <c r="C73" s="4"/>
      <c r="D73" s="254">
        <f>B13-14</f>
        <v>41350</v>
      </c>
      <c r="E73" s="261">
        <v>65</v>
      </c>
      <c r="F73" s="262" t="s">
        <v>1390</v>
      </c>
      <c r="G73" s="263" t="str">
        <f>IF(ISBLANK(BG7),IF(MOD(A7,2),LOOKUP(E73,AK7:AM182),LOOKUP(E73,AU:AW)),IF(C27&gt;2,LOOKUP(E73,BE:BG),IF(C27=2,LOOKUP(E73,AU:AW),LOOKUP(E73,AK:AM))))</f>
        <v>Jeremiah 23:16-32,</v>
      </c>
      <c r="H73" s="264" t="str">
        <f>IF(ISBLANK(BG7),IF(MOD(A7,2),LOOKUP(E73,AK7:AN182),LOOKUP(E73,AU:AX)),IF(C27&gt;2,LOOKUP(E73,BE:BH),IF(C27=2,LOOKUP(E73,AU:AX),LOOKUP(E73,AK:AN))))</f>
        <v>Jeremiah 24:1-10,</v>
      </c>
      <c r="I73" s="264" t="str">
        <f>IF(ISBLANK(BG7),IF(MOD(A7,2),LOOKUP(E73,AK7:AO182),LOOKUP(E73,AU:AY)),IF(C27&gt;2,LOOKUP(E73,BE:BI),IF(C27=2,LOOKUP(E73,AU:AY),LOOKUP(E73,AK:AO))))</f>
        <v>Jeremiah 25:8-17,</v>
      </c>
      <c r="J73" s="264" t="str">
        <f>IF(ISBLANK(BG7),IF(MOD(A7,2),LOOKUP(E73,AK7:AP182),LOOKUP(E73,AU:AZ)),IF(C27&gt;2,LOOKUP(E73,BE:BJ),IF(C27=2,LOOKUP(E73,AU:AZ),LOOKUP(E73,AK:AP))))</f>
        <v>Jeremiah 25:30-38,</v>
      </c>
      <c r="K73" s="264" t="str">
        <f>IF(ISBLANK(BG7),IF(MOD(A7,2),LOOKUP(E73,AK7:AQ182),LOOKUP(E73,AU:BA)),IF(C27&gt;2,LOOKUP(E73,BE:BK),IF(C27=2,LOOKUP(E73,AU:BA),LOOKUP(E73,AK:AQ))))</f>
        <v>Jeremiah 26:1-16 (17-24),</v>
      </c>
      <c r="L73" s="264" t="str">
        <f>IF(ISBLANK(BG7),IF(MOD(A7,2),LOOKUP(E73,AK7:AR182),LOOKUP(E73,AU:BB)),IF(C27&gt;2,LOOKUP(E73,BE:BL),IF(C27=2,LOOKUP(E73,AU:BB),LOOKUP(E73,AK:AR))))</f>
        <v>Jeremiah 29:1 (2-3) 4-14,</v>
      </c>
      <c r="M73" s="264" t="str">
        <f>IF(ISBLANK(BG7),IF(MOD(A7,2),LOOKUP(E73,AK7:AS182),LOOKUP(E73,AU:BC)),IF(C27&gt;2,LOOKUP(E73,BE:BM),IF(C27=2,LOOKUP(E73,AU:BC),LOOKUP(E73,AK:AS))))</f>
        <v>Jeremiah 31:27-34,</v>
      </c>
      <c r="N73" s="265" t="s">
        <v>1390</v>
      </c>
      <c r="O73" s="56">
        <f>D73</f>
        <v>41350</v>
      </c>
      <c r="R73" s="59"/>
      <c r="Z73" s="12"/>
      <c r="AI73" s="2" t="s">
        <v>1391</v>
      </c>
      <c r="AK73" s="2">
        <v>67</v>
      </c>
      <c r="AL73" s="13" t="s">
        <v>1392</v>
      </c>
      <c r="AM73" s="102" t="s">
        <v>1393</v>
      </c>
      <c r="AN73" s="102" t="s">
        <v>919</v>
      </c>
      <c r="AO73" s="101" t="s">
        <v>920</v>
      </c>
      <c r="AP73" s="102" t="s">
        <v>921</v>
      </c>
      <c r="AQ73" s="101" t="s">
        <v>1394</v>
      </c>
      <c r="AR73" s="102" t="s">
        <v>1395</v>
      </c>
      <c r="AS73" s="249" t="s">
        <v>1396</v>
      </c>
      <c r="AU73" s="2">
        <v>67</v>
      </c>
      <c r="AV73" s="13" t="s">
        <v>1392</v>
      </c>
      <c r="AW73" s="67" t="s">
        <v>1397</v>
      </c>
      <c r="AX73" s="66" t="s">
        <v>848</v>
      </c>
      <c r="AY73" s="67" t="s">
        <v>849</v>
      </c>
      <c r="AZ73" s="66" t="s">
        <v>850</v>
      </c>
      <c r="BA73" s="67" t="s">
        <v>851</v>
      </c>
      <c r="BB73" s="66" t="s">
        <v>852</v>
      </c>
      <c r="BC73" s="67" t="s">
        <v>853</v>
      </c>
      <c r="BE73" s="2">
        <v>67</v>
      </c>
      <c r="BF73" s="13" t="s">
        <v>1392</v>
      </c>
      <c r="BG73" s="68" t="s">
        <v>1398</v>
      </c>
      <c r="BH73" s="69" t="s">
        <v>1399</v>
      </c>
      <c r="BI73" s="68" t="s">
        <v>1400</v>
      </c>
      <c r="BJ73" s="69" t="s">
        <v>1401</v>
      </c>
      <c r="BK73" s="69" t="s">
        <v>1402</v>
      </c>
      <c r="BL73" s="69" t="s">
        <v>1403</v>
      </c>
      <c r="BM73" s="69" t="s">
        <v>1404</v>
      </c>
    </row>
    <row r="74" spans="2:65" ht="12.75">
      <c r="B74" s="4"/>
      <c r="C74" s="4"/>
      <c r="D74" s="138"/>
      <c r="E74" s="73">
        <v>66</v>
      </c>
      <c r="F74" s="250"/>
      <c r="G74" s="255" t="str">
        <f>IF(ISBLANK(BG7),IF(MOD(A7,2),LOOKUP(E74,AK7:AM182),LOOKUP(E74,AU:AW)),IF(C27&gt;2,LOOKUP(E74,BE:BG),IF(C27=2,LOOKUP(E74,AU:AW),LOOKUP(E74,AK:AM))))</f>
        <v>1 Corinthians 9:19-27,</v>
      </c>
      <c r="H74" s="111" t="str">
        <f>IF(ISBLANK(BG7),IF(MOD(A7,2),LOOKUP(E74,AK7:AN182),LOOKUP(E74,AU:AX)),IF(C27&gt;2,LOOKUP(E74,BE:BH),IF(C27=2,LOOKUP(E74,AU:AX),LOOKUP(E74,AK:AN))))</f>
        <v>Romans 9:19-33,</v>
      </c>
      <c r="I74" s="111" t="str">
        <f>IF(ISBLANK(BG7),IF(MOD(A7,2),LOOKUP(E74,AK7:AO182),LOOKUP(E74,AU:AY)),IF(C27&gt;2,LOOKUP(E74,BE:BI),IF(C27=2,LOOKUP(E74,AU:AY),LOOKUP(E74,AK:AO))))</f>
        <v>Romans 10:1-13,</v>
      </c>
      <c r="J74" s="111" t="str">
        <f>IF(ISBLANK(BG7),IF(MOD(A7,2),LOOKUP(E74,AK7:AP182),LOOKUP(E74,AU:AZ)),IF(C27&gt;2,LOOKUP(E74,BE:BJ),IF(C27=2,LOOKUP(E74,AU:AZ),LOOKUP(E74,AK:AP))))</f>
        <v>Romans 10:14-21,</v>
      </c>
      <c r="K74" s="111" t="str">
        <f>IF(ISBLANK(BG7),IF(MOD(A7,2),LOOKUP(E74,AK7:AQ182),LOOKUP(E74,AU:BA)),IF(C27&gt;2,LOOKUP(E74,BE:BK),IF(C27=2,LOOKUP(E74,AU:BA),LOOKUP(E74,AK:AQ))))</f>
        <v>Romans 11:1-12,</v>
      </c>
      <c r="L74" s="111" t="str">
        <f>IF(ISBLANK(BG7),IF(MOD(A7,2),LOOKUP(E74,AK7:AR182),LOOKUP(E74,AU:BB)),IF(C27&gt;2,LOOKUP(E74,BE:BL),IF(C27=2,LOOKUP(E74,AU:BB),LOOKUP(E74,AK:AR))))</f>
        <v>Romans 11:13-24,</v>
      </c>
      <c r="M74" s="111" t="str">
        <f>IF(ISBLANK(BG7),IF(MOD(A7,2),LOOKUP(E74,AK7:AS182),LOOKUP(E74,AU:BC)),IF(C27&gt;2,LOOKUP(E74,BE:BM),IF(C27=2,LOOKUP(E74,AU:BC),LOOKUP(E74,AK:AS))))</f>
        <v>Romans 11:25-36,</v>
      </c>
      <c r="N74" s="251"/>
      <c r="O74" s="78"/>
      <c r="Z74" s="12"/>
      <c r="AI74" s="30" t="e">
        <f>IF(MOD(A7,400),AI9,"LEAP YEAR")</f>
        <v>#N/A</v>
      </c>
      <c r="AK74" s="2">
        <v>67.5</v>
      </c>
      <c r="AL74" s="245" t="s">
        <v>14</v>
      </c>
      <c r="AM74" s="268" t="s">
        <v>1405</v>
      </c>
      <c r="AN74" s="64"/>
      <c r="AO74" s="63"/>
      <c r="AP74" s="64"/>
      <c r="AQ74" s="269" t="s">
        <v>1406</v>
      </c>
      <c r="AR74" s="268" t="s">
        <v>1407</v>
      </c>
      <c r="AS74" s="144"/>
      <c r="AU74" s="2">
        <v>67.5</v>
      </c>
      <c r="AV74" s="245" t="s">
        <v>14</v>
      </c>
      <c r="AW74" s="270" t="s">
        <v>1405</v>
      </c>
      <c r="AX74" s="90"/>
      <c r="AY74" s="91"/>
      <c r="AZ74" s="90"/>
      <c r="BA74" s="270" t="s">
        <v>1406</v>
      </c>
      <c r="BB74" s="243" t="s">
        <v>1407</v>
      </c>
      <c r="BC74" s="91"/>
      <c r="BE74" s="2">
        <v>67.5</v>
      </c>
      <c r="BF74" s="245" t="s">
        <v>14</v>
      </c>
      <c r="BG74" s="68" t="s">
        <v>1408</v>
      </c>
      <c r="BH74" s="69" t="s">
        <v>1409</v>
      </c>
      <c r="BI74" s="68" t="s">
        <v>1410</v>
      </c>
      <c r="BJ74" s="69" t="s">
        <v>1411</v>
      </c>
      <c r="BK74" s="69" t="s">
        <v>1412</v>
      </c>
      <c r="BL74" s="69" t="s">
        <v>1413</v>
      </c>
      <c r="BM74" s="69" t="s">
        <v>1414</v>
      </c>
    </row>
    <row r="75" spans="2:65" ht="12.75">
      <c r="B75" s="4"/>
      <c r="C75" s="4"/>
      <c r="D75" s="256"/>
      <c r="E75" s="266">
        <v>67</v>
      </c>
      <c r="F75" s="258"/>
      <c r="G75" s="259" t="str">
        <f>IF(ISBLANK(BG7),IF(MOD(A7,2),LOOKUP(E75,AK7:AM182),LOOKUP(E75,AU:AW)),IF(C27&gt;2,LOOKUP(E75,BE:BG),IF(C27=2,LOOKUP(E75,AU:AW),LOOKUP(E75,AK:AM))))</f>
        <v>Mark 8:31-9:1</v>
      </c>
      <c r="H75" s="260" t="str">
        <f>IF(ISBLANK(BG7),IF(MOD(A7,2),LOOKUP(E75,AK7:AN182),LOOKUP(E75,AU:AX)),IF(C27&gt;2,LOOKUP(E75,BE:BH),IF(C27=2,LOOKUP(E75,AU:AX),LOOKUP(E75,AK:AN))))</f>
        <v>John 9:1-17</v>
      </c>
      <c r="I75" s="260" t="str">
        <f>IF(ISBLANK(BG7),IF(MOD(A7,2),LOOKUP(E75,AK7:AO182),LOOKUP(E75,AU:AY)),IF(C27&gt;2,LOOKUP(E75,BE:BI),IF(C27=2,LOOKUP(E75,AU:AY),LOOKUP(E75,AK:AO))))</f>
        <v>John 9:18-41</v>
      </c>
      <c r="J75" s="260" t="str">
        <f>IF(ISBLANK(BG7),IF(MOD(A7,2),LOOKUP(E75,AK7:AP182),LOOKUP(E75,AU:AZ)),IF(C27&gt;2,LOOKUP(E75,BE:BJ),IF(C27=2,LOOKUP(E75,AU:AZ),LOOKUP(E75,AK:AP))))</f>
        <v>John 10:1-18</v>
      </c>
      <c r="K75" s="260" t="str">
        <f>IF(ISBLANK(BG7),IF(MOD(A7,2),LOOKUP(E75,AK7:AQ182),LOOKUP(E75,AU:BA)),IF(C27&gt;2,LOOKUP(E75,BE:BK),IF(C27=2,LOOKUP(E75,AU:BA),LOOKUP(E75,AK:AQ))))</f>
        <v>John 10:19-42</v>
      </c>
      <c r="L75" s="260" t="str">
        <f>IF(ISBLANK(BG7),IF(MOD(A7,2),LOOKUP(E75,AK7:AR182),LOOKUP(E75,AU:BB)),IF(C27&gt;2,LOOKUP(E75,BE:BL),IF(C27=2,LOOKUP(E75,AU:BB),LOOKUP(E75,AK:AR))))</f>
        <v>John 11:1-27 or 12:1-10</v>
      </c>
      <c r="M75" s="260" t="str">
        <f>IF(ISBLANK(BG7),IF(MOD(A7,2),LOOKUP(E75,AK7:AS182),LOOKUP(E75,AU:BC)),IF(C27&gt;2,LOOKUP(E75,BE:BM),IF(C27=2,LOOKUP(E75,AU:BC),LOOKUP(E75,AK:AS))))</f>
        <v>John 11:28-44 or 12:37-50</v>
      </c>
      <c r="N75" s="267"/>
      <c r="O75" s="99"/>
      <c r="R75" s="59"/>
      <c r="Z75" s="12"/>
      <c r="AI75" s="2" t="s">
        <v>1415</v>
      </c>
      <c r="AK75" s="2">
        <v>68</v>
      </c>
      <c r="AL75" s="13" t="s">
        <v>1416</v>
      </c>
      <c r="AM75" s="64" t="s">
        <v>1417</v>
      </c>
      <c r="AN75" s="64" t="s">
        <v>1418</v>
      </c>
      <c r="AO75" s="63" t="s">
        <v>1419</v>
      </c>
      <c r="AP75" s="64" t="s">
        <v>1420</v>
      </c>
      <c r="AQ75" s="63" t="s">
        <v>1421</v>
      </c>
      <c r="AR75" s="64" t="s">
        <v>1422</v>
      </c>
      <c r="AS75" s="144" t="s">
        <v>1423</v>
      </c>
      <c r="AU75" s="2">
        <v>68</v>
      </c>
      <c r="AV75" s="13" t="s">
        <v>1416</v>
      </c>
      <c r="AW75" s="67" t="s">
        <v>1424</v>
      </c>
      <c r="AX75" s="66" t="s">
        <v>1425</v>
      </c>
      <c r="AY75" s="67" t="s">
        <v>1426</v>
      </c>
      <c r="AZ75" s="66" t="s">
        <v>1427</v>
      </c>
      <c r="BA75" s="67" t="s">
        <v>1428</v>
      </c>
      <c r="BB75" s="66" t="s">
        <v>1429</v>
      </c>
      <c r="BC75" s="67" t="s">
        <v>1430</v>
      </c>
      <c r="BE75" s="2">
        <v>68</v>
      </c>
      <c r="BF75" s="13" t="s">
        <v>1416</v>
      </c>
      <c r="BG75" s="68" t="s">
        <v>1431</v>
      </c>
      <c r="BH75" s="69" t="s">
        <v>1432</v>
      </c>
      <c r="BI75" s="68" t="s">
        <v>1433</v>
      </c>
      <c r="BJ75" s="69" t="s">
        <v>1434</v>
      </c>
      <c r="BK75" s="69" t="s">
        <v>1435</v>
      </c>
      <c r="BL75" s="69" t="s">
        <v>1436</v>
      </c>
      <c r="BM75" s="69" t="s">
        <v>1437</v>
      </c>
    </row>
    <row r="76" spans="2:65" ht="12.75">
      <c r="B76" s="4"/>
      <c r="C76" s="4"/>
      <c r="D76" s="138">
        <f>B13-7</f>
        <v>41357</v>
      </c>
      <c r="E76" s="73">
        <v>67.5</v>
      </c>
      <c r="F76" s="250" t="s">
        <v>1438</v>
      </c>
      <c r="G76" s="271"/>
      <c r="H76" s="271"/>
      <c r="I76" s="111"/>
      <c r="J76" s="111"/>
      <c r="K76" s="272" t="s">
        <v>1406</v>
      </c>
      <c r="L76" s="272" t="s">
        <v>1407</v>
      </c>
      <c r="M76" s="111"/>
      <c r="N76" s="251" t="s">
        <v>1438</v>
      </c>
      <c r="O76" s="109">
        <f>D76</f>
        <v>41357</v>
      </c>
      <c r="R76" s="59"/>
      <c r="Z76" s="12"/>
      <c r="AI76" s="30" t="str">
        <f>IF(AI41&lt;AI56,"no","+1")</f>
        <v>no</v>
      </c>
      <c r="AK76" s="2">
        <v>69</v>
      </c>
      <c r="AL76" s="13" t="s">
        <v>1439</v>
      </c>
      <c r="AM76" s="64" t="s">
        <v>1440</v>
      </c>
      <c r="AN76" s="64" t="s">
        <v>1441</v>
      </c>
      <c r="AO76" s="63" t="s">
        <v>1442</v>
      </c>
      <c r="AP76" s="64" t="s">
        <v>1443</v>
      </c>
      <c r="AQ76" s="63" t="s">
        <v>1444</v>
      </c>
      <c r="AR76" s="64" t="s">
        <v>1445</v>
      </c>
      <c r="AS76" s="144" t="s">
        <v>1446</v>
      </c>
      <c r="AU76" s="2">
        <v>69</v>
      </c>
      <c r="AV76" s="13" t="s">
        <v>1439</v>
      </c>
      <c r="AW76" s="67" t="s">
        <v>1440</v>
      </c>
      <c r="AX76" s="66" t="s">
        <v>1447</v>
      </c>
      <c r="AY76" s="67" t="s">
        <v>1448</v>
      </c>
      <c r="AZ76" s="66" t="s">
        <v>1449</v>
      </c>
      <c r="BA76" s="67" t="s">
        <v>1450</v>
      </c>
      <c r="BB76" s="66" t="s">
        <v>1445</v>
      </c>
      <c r="BC76" s="67" t="s">
        <v>1446</v>
      </c>
      <c r="BE76" s="2">
        <v>69</v>
      </c>
      <c r="BF76" s="13" t="s">
        <v>1439</v>
      </c>
      <c r="BG76" s="68" t="s">
        <v>1451</v>
      </c>
      <c r="BH76" s="69" t="s">
        <v>1452</v>
      </c>
      <c r="BI76" s="68" t="s">
        <v>1453</v>
      </c>
      <c r="BJ76" s="69" t="s">
        <v>1454</v>
      </c>
      <c r="BK76" s="69" t="s">
        <v>1455</v>
      </c>
      <c r="BL76" s="69" t="s">
        <v>1456</v>
      </c>
      <c r="BM76" s="69" t="s">
        <v>1457</v>
      </c>
    </row>
    <row r="77" spans="2:65" ht="12.75">
      <c r="B77" s="4"/>
      <c r="C77" s="4"/>
      <c r="D77" s="72"/>
      <c r="E77" s="73">
        <v>68</v>
      </c>
      <c r="F77" s="273" t="s">
        <v>1458</v>
      </c>
      <c r="G77" s="111" t="str">
        <f>IF(ISBLANK(BG7),IF(MOD(A7,2),LOOKUP(E77,AK7:AM182),LOOKUP(E77,AU:AW)),IF(C27&gt;2,LOOKUP(E77,BE:BG),IF(C27=2,LOOKUP(E59,AU:AW),LOOKUP(E77,AK:AM))))</f>
        <v>Zechariah 9:9-12, </v>
      </c>
      <c r="H77" s="111" t="str">
        <f>IF(ISBLANK(BG7),IF(MOD(A7,2),LOOKUP(E77,AK7:AN182),LOOKUP(E77,AU:AX)),IF(C27&gt;2,LOOKUP(E77,BE:BH),IF(C27=2,LOOKUP(E77,AU:AX),LOOKUP(E77,AK:AN))))</f>
        <v>Jeremiah 11:18-20; 12:1-16 (17),</v>
      </c>
      <c r="I77" s="111" t="str">
        <f>IF(ISBLANK(BG7),IF(MOD(A7,2),LOOKUP(E77,AK7:AO182),LOOKUP(E77,AU:AY)),IF(C27&gt;2,LOOKUP(E77,BE:BI),IF(C27=2,LOOKUP(E77,AU:AY),LOOKUP(E77,AK:AO))))</f>
        <v>Jeremiah 15:10-21, </v>
      </c>
      <c r="J77" s="111" t="str">
        <f>IF(ISBLANK(BG7),IF(MOD(A7,2),LOOKUP(E77,AK7:AP182),LOOKUP(E77,AU:AZ)),IF(C27&gt;2,LOOKUP(E77,BE:BJ),IF(C27=2,LOOKUP(E77,AU:AZ),LOOKUP(E77,AK:AP))))</f>
        <v>Jeremiah 17:5-10, 14-17 (18),</v>
      </c>
      <c r="K77" s="111" t="str">
        <f>IF(ISBLANK(BG7),IF(MOD(A7,2),LOOKUP(E77,AK7:AQ182),LOOKUP(E77,AU:BA)),IF(C27&gt;2,LOOKUP(E77,BE:BK),IF(C27=2,LOOKUP(E77,AU:BA),LOOKUP(E77,AK:AQ))))</f>
        <v>Jeremiah 20:7-11 (12-13) 14-18,</v>
      </c>
      <c r="L77" s="111" t="str">
        <f>IF(ISBLANK(BG7),IF(MOD(A7,2),LOOKUP(E77,AK7:AR182),LOOKUP(E77,AU:BB)),IF(C27&gt;2,LOOKUP(E77,BE:BL),IF(C27=2,LOOKUP(E77,AU:BB),LOOKUP(E77,AK:AR))))</f>
        <v>Genesis 22:1-14,</v>
      </c>
      <c r="M77" s="111" t="str">
        <f>IF(ISBLANK(BG7),IF(MOD(A7,2),LOOKUP(E77,AK7:AS182),LOOKUP(E77,AU:BC)),IF(C27&gt;2,LOOKUP(E77,BE:BM),IF(C27=2,LOOKUP(E77,AU:BC),LOOKUP(E77,AK:AS))))</f>
        <v>Job 19:21-27a,</v>
      </c>
      <c r="N77" s="274" t="s">
        <v>1458</v>
      </c>
      <c r="O77" s="78"/>
      <c r="Z77" s="12"/>
      <c r="AI77" s="2" t="s">
        <v>1459</v>
      </c>
      <c r="AK77" s="2">
        <v>70</v>
      </c>
      <c r="AL77" s="248" t="s">
        <v>1460</v>
      </c>
      <c r="AM77" s="64" t="s">
        <v>1461</v>
      </c>
      <c r="AN77" s="64" t="s">
        <v>989</v>
      </c>
      <c r="AO77" s="63" t="s">
        <v>990</v>
      </c>
      <c r="AP77" s="64" t="s">
        <v>1462</v>
      </c>
      <c r="AQ77" s="63" t="s">
        <v>1463</v>
      </c>
      <c r="AR77" s="64" t="s">
        <v>1464</v>
      </c>
      <c r="AS77" s="144" t="s">
        <v>1465</v>
      </c>
      <c r="AU77" s="2">
        <v>70</v>
      </c>
      <c r="AV77" s="248" t="s">
        <v>1460</v>
      </c>
      <c r="AW77" s="104" t="s">
        <v>1466</v>
      </c>
      <c r="AX77" s="103" t="s">
        <v>1467</v>
      </c>
      <c r="AY77" s="104" t="s">
        <v>1468</v>
      </c>
      <c r="AZ77" s="103" t="s">
        <v>1469</v>
      </c>
      <c r="BA77" s="104" t="s">
        <v>1470</v>
      </c>
      <c r="BB77" s="66" t="s">
        <v>1464</v>
      </c>
      <c r="BC77" s="104" t="s">
        <v>1465</v>
      </c>
      <c r="BE77" s="2">
        <v>70</v>
      </c>
      <c r="BF77" s="248" t="s">
        <v>1460</v>
      </c>
      <c r="BG77" s="68" t="s">
        <v>1471</v>
      </c>
      <c r="BH77" s="69" t="s">
        <v>1472</v>
      </c>
      <c r="BI77" s="68" t="s">
        <v>1473</v>
      </c>
      <c r="BJ77" s="69" t="s">
        <v>1474</v>
      </c>
      <c r="BK77" s="69" t="s">
        <v>1475</v>
      </c>
      <c r="BL77" s="69" t="s">
        <v>1476</v>
      </c>
      <c r="BM77" s="69" t="s">
        <v>1477</v>
      </c>
    </row>
    <row r="78" spans="2:65" ht="12.75">
      <c r="B78" s="4"/>
      <c r="C78" s="4"/>
      <c r="D78" s="138"/>
      <c r="E78" s="73">
        <v>69</v>
      </c>
      <c r="F78" s="250"/>
      <c r="G78" s="271" t="str">
        <f>IF(ISBLANK(BG7),IF(MOD(A7,2),LOOKUP(E78,AK7:AM182),LOOKUP(E78,AU:AW)),IF(C27&gt;2,LOOKUP(E78,BE:BG),IF(C27=2,LOOKUP(E78,AU:AW),LOOKUP(E78,AK:AM))))</f>
        <v>1 Timothy 6:12-16,</v>
      </c>
      <c r="H78" s="111" t="str">
        <f>IF(ISBLANK(BG7),IF(MOD(A7,2),LOOKUP(E78,AK7:AN182),LOOKUP(E78,AU:AX)),IF(C27&gt;2,LOOKUP(E78,BE:BH),IF(C27=2,LOOKUP(E78,AU:AX),LOOKUP(E78,AK:AN))))</f>
        <v>Philippians 3:1-14,</v>
      </c>
      <c r="I78" s="111" t="str">
        <f>IF(ISBLANK(BG7),IF(MOD(A7,2),LOOKUP(E78,AK7:AO182),LOOKUP(E78,AU:AY)),IF(C27&gt;2,LOOKUP(E78,BE:BI),IF(C27=2,LOOKUP(E78,AU:AY),LOOKUP(E78,AK:AO))))</f>
        <v>Philippians 3:15-21,</v>
      </c>
      <c r="J78" s="111" t="str">
        <f>IF(ISBLANK(BG7),IF(MOD(A7,2),LOOKUP(E78,AK7:AP182),LOOKUP(E78,AU:AZ)),IF(C27&gt;2,LOOKUP(E78,BE:BJ),IF(C27=2,LOOKUP(E78,AU:AZ),LOOKUP(E78,AK:AP))))</f>
        <v>Philippians 4:1-13,</v>
      </c>
      <c r="K78" s="111" t="str">
        <f>IF(ISBLANK(BG7),IF(MOD(A7,2),LOOKUP(E78,AK7:AQ182),LOOKUP(E78,AU:BA)),IF(C27&gt;2,LOOKUP(E78,BE:BK),IF(C27=2,LOOKUP(E78,AU:BA),LOOKUP(E78,AK:AQ))))</f>
        <v>1 Corinthians 10:14-17; 1:27-32,</v>
      </c>
      <c r="L78" s="111" t="str">
        <f>IF(ISBLANK(BG7),IF(MOD(A7,2),LOOKUP(E78,AK7:AR182),LOOKUP(E78,AU:BB)),IF(C27&gt;2,LOOKUP(E78,BE:BL),IF(C27=2,LOOKUP(E78,AU:BB),LOOKUP(E78,AK:AR))))</f>
        <v>1 Peter 1:10-20,</v>
      </c>
      <c r="M78" s="111" t="str">
        <f>IF(ISBLANK(BG7),IF(MOD(A7,2),LOOKUP(E78,AK7:AS182),LOOKUP(E78,AU:BC)),IF(C27&gt;2,LOOKUP(E78,BE:BM),IF(C27=2,LOOKUP(E78,AU:BC),LOOKUP(E78,AK:AS))))</f>
        <v>Hebrews 4:1-16,</v>
      </c>
      <c r="N78" s="251"/>
      <c r="O78" s="78"/>
      <c r="R78" s="59"/>
      <c r="Z78" s="12"/>
      <c r="AI78" s="2">
        <f>LOOKUP(B13,S6:V152)</f>
        <v>2</v>
      </c>
      <c r="AK78" s="2">
        <v>71</v>
      </c>
      <c r="AL78" s="13" t="s">
        <v>1478</v>
      </c>
      <c r="AM78" s="89" t="s">
        <v>1479</v>
      </c>
      <c r="AN78" s="89" t="s">
        <v>1480</v>
      </c>
      <c r="AO78" s="88" t="s">
        <v>1481</v>
      </c>
      <c r="AP78" s="89" t="s">
        <v>1482</v>
      </c>
      <c r="AQ78" s="88" t="s">
        <v>1483</v>
      </c>
      <c r="AR78" s="89" t="s">
        <v>1484</v>
      </c>
      <c r="AS78" s="242" t="s">
        <v>338</v>
      </c>
      <c r="AU78" s="2">
        <v>71</v>
      </c>
      <c r="AV78" s="13" t="s">
        <v>1478</v>
      </c>
      <c r="AW78" s="67" t="s">
        <v>1479</v>
      </c>
      <c r="AX78" s="66" t="s">
        <v>1485</v>
      </c>
      <c r="AY78" s="67" t="s">
        <v>1486</v>
      </c>
      <c r="AZ78" s="66" t="s">
        <v>1487</v>
      </c>
      <c r="BA78" s="67" t="s">
        <v>1488</v>
      </c>
      <c r="BB78" s="90" t="s">
        <v>1489</v>
      </c>
      <c r="BC78" s="91" t="s">
        <v>1490</v>
      </c>
      <c r="BE78" s="2">
        <v>71</v>
      </c>
      <c r="BF78" s="13" t="s">
        <v>1478</v>
      </c>
      <c r="BG78" s="68" t="s">
        <v>1491</v>
      </c>
      <c r="BH78" s="69" t="s">
        <v>1492</v>
      </c>
      <c r="BI78" s="68" t="s">
        <v>1493</v>
      </c>
      <c r="BJ78" s="69" t="s">
        <v>1494</v>
      </c>
      <c r="BK78" s="69" t="s">
        <v>1495</v>
      </c>
      <c r="BL78" s="69" t="s">
        <v>1496</v>
      </c>
      <c r="BM78" s="69" t="s">
        <v>1497</v>
      </c>
    </row>
    <row r="79" spans="2:65" ht="12.75">
      <c r="B79" s="4"/>
      <c r="C79" s="4"/>
      <c r="D79" s="138"/>
      <c r="E79" s="73">
        <v>70</v>
      </c>
      <c r="F79" s="250"/>
      <c r="G79" s="275" t="str">
        <f>IF(ISBLANK(BG7),IF(MOD(A7,2),LOOKUP(E79,AK7:AM182),LOOKUP(E79,AU:AW)),IF(C27&gt;2,LOOKUP(E79,BE:BG),IF(C27=2,LOOKUP(E79,AU:AW),LOOKUP(E79,AK:AM))))</f>
        <v>Matthew 21:12-17</v>
      </c>
      <c r="H79" s="260" t="str">
        <f>IF(ISBLANK(BG7),IF(MOD(A7,2),LOOKUP(E79,AK7:AN182),LOOKUP(E79,AU:AX)),IF(C27&gt;2,LOOKUP(E79,BE:BH),IF(C27=2,LOOKUP(E79,AU:AX),LOOKUP(E79,AK:AN))))</f>
        <v>John 12:9-19</v>
      </c>
      <c r="I79" s="260" t="str">
        <f>IF(ISBLANK(BG7),IF(MOD(A7,2),LOOKUP(E79,AK7:AO182),LOOKUP(E79,AU:AY)),IF(C27&gt;2,LOOKUP(E79,BE:BI),IF(C27=2,LOOKUP(E79,AU:AY),LOOKUP(E79,AK:AO))))</f>
        <v>John 12:20-26</v>
      </c>
      <c r="J79" s="260" t="str">
        <f>IF(ISBLANK(BG7),IF(MOD(A7,2),LOOKUP(E79,AK7:AP182),LOOKUP(E79,AU:AZ)),IF(C27&gt;2,LOOKUP(E79,BE:BJ),IF(C27=2,LOOKUP(E79,AU:AZ),LOOKUP(E79,AK:AP))))</f>
        <v>John 12:27-36</v>
      </c>
      <c r="K79" s="260" t="str">
        <f>IF(ISBLANK(BG7),IF(MOD(A7,2),LOOKUP(E79,AK7:AQ182),LOOKUP(E79,AU:BA)),IF(C27&gt;2,LOOKUP(E79,BE:BK),IF(C27=2,LOOKUP(E79,AU:BA),LOOKUP(E79,AK:AQ))))</f>
        <v>John 17:1-11 (12-26)</v>
      </c>
      <c r="L79" s="260" t="str">
        <f>IF(ISBLANK(BG7),IF(MOD(A7,2),LOOKUP(E79,AK7:AR182),LOOKUP(E79,AU:BB)),IF(C27&gt;2,LOOKUP(E79,BE:BL),IF(C27=2,LOOKUP(E79,AU:BB),LOOKUP(E79,AK:AR))))</f>
        <v>John 13:36-38 or 19:38-42</v>
      </c>
      <c r="M79" s="260" t="str">
        <f>IF(ISBLANK(BG7),IF(MOD(A7,2),LOOKUP(E79,AK7:AS182),LOOKUP(E79,AU:BC)),IF(C27&gt;2,LOOKUP(E79,BE:BM),IF(C27=2,LOOKUP(E79,AU:BC),LOOKUP(E79,AK:AS))))</f>
        <v>Romans 8:1-11</v>
      </c>
      <c r="N79" s="251"/>
      <c r="O79" s="78"/>
      <c r="R79" s="59"/>
      <c r="Z79" s="12"/>
      <c r="AI79" s="2" t="s">
        <v>1171</v>
      </c>
      <c r="AK79" s="2">
        <v>72</v>
      </c>
      <c r="AL79" s="13" t="s">
        <v>1498</v>
      </c>
      <c r="AM79" s="64" t="s">
        <v>1499</v>
      </c>
      <c r="AN79" s="64" t="s">
        <v>1500</v>
      </c>
      <c r="AO79" s="63" t="s">
        <v>1501</v>
      </c>
      <c r="AP79" s="64" t="s">
        <v>1502</v>
      </c>
      <c r="AQ79" s="63" t="s">
        <v>1503</v>
      </c>
      <c r="AR79" s="64" t="s">
        <v>1504</v>
      </c>
      <c r="AS79" s="144" t="s">
        <v>1505</v>
      </c>
      <c r="AU79" s="2">
        <v>72</v>
      </c>
      <c r="AV79" s="13" t="s">
        <v>1498</v>
      </c>
      <c r="AW79" s="67" t="s">
        <v>1506</v>
      </c>
      <c r="AX79" s="66" t="s">
        <v>1507</v>
      </c>
      <c r="AY79" s="67" t="s">
        <v>1508</v>
      </c>
      <c r="AZ79" s="66" t="s">
        <v>1509</v>
      </c>
      <c r="BA79" s="67" t="s">
        <v>1510</v>
      </c>
      <c r="BB79" s="66" t="s">
        <v>1511</v>
      </c>
      <c r="BC79" s="67" t="s">
        <v>1512</v>
      </c>
      <c r="BE79" s="2">
        <v>72</v>
      </c>
      <c r="BF79" s="13" t="s">
        <v>1498</v>
      </c>
      <c r="BG79" s="68" t="s">
        <v>1513</v>
      </c>
      <c r="BH79" s="69" t="s">
        <v>1514</v>
      </c>
      <c r="BI79" s="68" t="s">
        <v>1515</v>
      </c>
      <c r="BJ79" s="69" t="s">
        <v>1516</v>
      </c>
      <c r="BK79" s="69" t="s">
        <v>1517</v>
      </c>
      <c r="BL79" s="69" t="s">
        <v>1518</v>
      </c>
      <c r="BM79" s="69" t="s">
        <v>1519</v>
      </c>
    </row>
    <row r="80" spans="2:65" ht="12.75">
      <c r="B80" s="4"/>
      <c r="C80" s="4"/>
      <c r="D80" s="254">
        <f>B13</f>
        <v>41364</v>
      </c>
      <c r="E80" s="261">
        <v>71</v>
      </c>
      <c r="F80" s="262" t="s">
        <v>1520</v>
      </c>
      <c r="G80" s="263" t="str">
        <f>IF(ISBLANK(BG7),IF(MOD(A7,2),LOOKUP(E80,AK7:AM182),LOOKUP(E80,AU:AW)),IF(C27&gt;2,LOOKUP(E80,BE:BG),IF(C27=2,LOOKUP(E80,AU:AW),LOOKUP(E80,AK:AM))))</f>
        <v>Exodus 12:1-14,</v>
      </c>
      <c r="H80" s="264" t="str">
        <f>IF(ISBLANK(BG7),IF(MOD(A7,2),LOOKUP(E80,AK7:AN182),LOOKUP(E80,AU:AX)),IF(C27&gt;2,LOOKUP(E80,BE:BH),IF(C27=2,LOOKUP(E80,AU:AX),LOOKUP(E80,AK:AN))))</f>
        <v>Jonah 2:1-10,</v>
      </c>
      <c r="I80" s="264" t="str">
        <f>IF(ISBLANK(BG7),IF(MOD(A7,2),LOOKUP(E80,AK7:AO182),LOOKUP(E80,AU:AY)),IF(C27&gt;2,LOOKUP(E80,BE:BI),IF(C27=2,LOOKUP(E80,AU:AY),LOOKUP(E80,AK:AO))))</f>
        <v>Isaiah 30:18-26,</v>
      </c>
      <c r="J80" s="264" t="str">
        <f>IF(ISBLANK(BG7),IF(MOD(A7,2),LOOKUP(E80,AK7:AP182),LOOKUP(E80,AU:AZ)),IF(C27&gt;2,LOOKUP(E80,BE:BJ),IF(C27=2,LOOKUP(E80,AU:AZ),LOOKUP(E80,AK:AP))))</f>
        <v>Micah 7:7-15,</v>
      </c>
      <c r="K80" s="264" t="str">
        <f>IF(ISBLANK(BG7),IF(MOD(A7,2),LOOKUP(E80,AK7:AQ182),LOOKUP(E80,AU:BA)),IF(C27&gt;2,LOOKUP(E80,BE:BK),IF(C27=2,LOOKUP(E80,AU:BA),LOOKUP(E80,AK:AQ))))</f>
        <v>Ezekiel 37:1-14,</v>
      </c>
      <c r="L80" s="264" t="str">
        <f>IF(ISBLANK(BG7),IF(MOD(A7,2),LOOKUP(E80,AK7:AR182),LOOKUP(E80,AU:BB)),IF(C27&gt;2,LOOKUP(E80,BE:BL),IF(C27=2,LOOKUP(E80,AU:BB),LOOKUP(E80,AK:AR))))</f>
        <v>Daniel 12:1-4, 13,</v>
      </c>
      <c r="M80" s="264" t="str">
        <f>IF(ISBLANK(BG7),IF(MOD(A7,2),LOOKUP(E80,AK7:AS182),LOOKUP(E80,AU:BC)),IF(C27&gt;2,LOOKUP(E80,BE:BM),IF(C27=2,LOOKUP(E80,AU:BC),LOOKUP(E80,AK:AS))))</f>
        <v>Isaiah 25:1-9,</v>
      </c>
      <c r="N80" s="265" t="s">
        <v>1520</v>
      </c>
      <c r="O80" s="56">
        <f>D80</f>
        <v>41364</v>
      </c>
      <c r="Z80" s="12"/>
      <c r="AI80" s="2">
        <f>IF(B7="leap Year",LOOKUP(B13+1,S6:V152),LOOKUP(B13,S6:V152))</f>
        <v>2</v>
      </c>
      <c r="AK80" s="2">
        <v>73</v>
      </c>
      <c r="AL80" s="13" t="s">
        <v>1521</v>
      </c>
      <c r="AM80" s="102" t="s">
        <v>1522</v>
      </c>
      <c r="AN80" s="102" t="s">
        <v>1523</v>
      </c>
      <c r="AO80" s="101" t="s">
        <v>1524</v>
      </c>
      <c r="AP80" s="102" t="s">
        <v>1525</v>
      </c>
      <c r="AQ80" s="101" t="s">
        <v>1526</v>
      </c>
      <c r="AR80" s="102" t="s">
        <v>1527</v>
      </c>
      <c r="AS80" s="249" t="s">
        <v>1528</v>
      </c>
      <c r="AU80" s="2">
        <v>73</v>
      </c>
      <c r="AV80" s="13" t="s">
        <v>1521</v>
      </c>
      <c r="AW80" s="67" t="s">
        <v>1529</v>
      </c>
      <c r="AX80" s="66" t="s">
        <v>1530</v>
      </c>
      <c r="AY80" s="67" t="s">
        <v>1531</v>
      </c>
      <c r="AZ80" s="66" t="s">
        <v>1532</v>
      </c>
      <c r="BA80" s="67" t="s">
        <v>1533</v>
      </c>
      <c r="BB80" s="103" t="s">
        <v>1534</v>
      </c>
      <c r="BC80" s="104" t="s">
        <v>1535</v>
      </c>
      <c r="BE80" s="2">
        <v>73</v>
      </c>
      <c r="BF80" s="13" t="s">
        <v>1521</v>
      </c>
      <c r="BG80" s="68" t="s">
        <v>1536</v>
      </c>
      <c r="BH80" s="69" t="s">
        <v>1537</v>
      </c>
      <c r="BI80" s="68" t="s">
        <v>1538</v>
      </c>
      <c r="BJ80" s="69" t="s">
        <v>1539</v>
      </c>
      <c r="BK80" s="69" t="s">
        <v>1540</v>
      </c>
      <c r="BL80" s="69" t="s">
        <v>1541</v>
      </c>
      <c r="BM80" s="69" t="s">
        <v>1542</v>
      </c>
    </row>
    <row r="81" spans="2:65" ht="12.75">
      <c r="B81" s="4"/>
      <c r="C81" s="4"/>
      <c r="D81" s="138"/>
      <c r="E81" s="73">
        <v>72</v>
      </c>
      <c r="F81" s="250"/>
      <c r="G81" s="255" t="str">
        <f>IF(ISBLANK(BG7),IF(MOD(A7,2),LOOKUP(E81,AK7:AM182),LOOKUP(E81,AU:AW)),IF(C27&gt;2,LOOKUP(E81,BE:BG),IF(C27=2,LOOKUP(E81,AU:AW),LOOKUP(E81,AK:AM))))</f>
        <v>Isaiah 51:9-11,</v>
      </c>
      <c r="H81" s="111" t="str">
        <f>IF(ISBLANK(BG7),IF(MOD(A7,2),LOOKUP(E81,AK7:AN182),LOOKUP(E81,AU:AX)),IF(C27&gt;2,LOOKUP(E81,BE:BH),IF(C27=2,LOOKUP(E81,AU:AX),LOOKUP(E81,AK:AN))))</f>
        <v>Acts 2:14, 22-32,</v>
      </c>
      <c r="I81" s="111" t="str">
        <f>IF(ISBLANK(BG7),IF(MOD(A7,2),LOOKUP(E81,AK7:AO182),LOOKUP(E81,AU:AY)),IF(C27&gt;2,LOOKUP(E81,BE:BI),IF(C27=2,LOOKUP(E81,AU:AY),LOOKUP(E81,AK:AO))))</f>
        <v>Acts 2:36-41 (42-47),</v>
      </c>
      <c r="J81" s="111" t="str">
        <f>IF(ISBLANK(BG7),IF(MOD(A7,2),LOOKUP(E81,AK7:AP182),LOOKUP(E81,AU:AZ)),IF(C27&gt;2,LOOKUP(E81,BE:BJ),IF(C27=2,LOOKUP(E81,AU:AZ),LOOKUP(E81,AK:AP))))</f>
        <v>Acts 3:1-10,</v>
      </c>
      <c r="K81" s="111" t="str">
        <f>IF(ISBLANK(BG7),IF(MOD(A7,2),LOOKUP(E81,AK7:AQ182),LOOKUP(E81,AU:BA)),IF(C27&gt;2,LOOKUP(E81,BE:BK),IF(C27=2,LOOKUP(E81,AU:BA),LOOKUP(E81,AK:AQ))))</f>
        <v>Acts 3:11-26,</v>
      </c>
      <c r="L81" s="111" t="str">
        <f>IF(ISBLANK(BG7),IF(MOD(A7,2),LOOKUP(E81,AK7:AR182),LOOKUP(E81,AU:BB)),IF(C27&gt;2,LOOKUP(E81,BE:BL),IF(C27=2,LOOKUP(E81,AU:BB),LOOKUP(E81,AK:AR))))</f>
        <v>Acts 4:1-12,</v>
      </c>
      <c r="M81" s="111" t="str">
        <f>IF(ISBLANK(BG7),IF(MOD(A7,2),LOOKUP(E81,AK7:AS182),LOOKUP(E81,AU:BC)),IF(C27&gt;2,LOOKUP(E81,BE:BM),IF(C27=2,LOOKUP(E81,AU:BC),LOOKUP(E81,AK:AS))))</f>
        <v>Acts 4:13-21 (22-31),</v>
      </c>
      <c r="N81" s="251"/>
      <c r="O81" s="78"/>
      <c r="R81" s="59"/>
      <c r="Z81" s="12"/>
      <c r="AI81" s="2" t="s">
        <v>1543</v>
      </c>
      <c r="AK81" s="2">
        <v>74</v>
      </c>
      <c r="AL81" s="245" t="s">
        <v>1544</v>
      </c>
      <c r="AM81" s="64" t="s">
        <v>1545</v>
      </c>
      <c r="AN81" s="64" t="s">
        <v>1546</v>
      </c>
      <c r="AO81" s="63" t="s">
        <v>1547</v>
      </c>
      <c r="AP81" s="64" t="s">
        <v>1548</v>
      </c>
      <c r="AQ81" s="63" t="s">
        <v>1549</v>
      </c>
      <c r="AR81" s="64" t="s">
        <v>1550</v>
      </c>
      <c r="AS81" s="144" t="s">
        <v>1551</v>
      </c>
      <c r="AU81" s="2">
        <v>74</v>
      </c>
      <c r="AV81" s="245" t="s">
        <v>1544</v>
      </c>
      <c r="AW81" s="91" t="s">
        <v>1552</v>
      </c>
      <c r="AX81" s="90" t="s">
        <v>1553</v>
      </c>
      <c r="AY81" s="91" t="s">
        <v>1554</v>
      </c>
      <c r="AZ81" s="90" t="s">
        <v>1555</v>
      </c>
      <c r="BA81" s="91" t="s">
        <v>1556</v>
      </c>
      <c r="BB81" s="90" t="s">
        <v>1557</v>
      </c>
      <c r="BC81" s="91" t="s">
        <v>1558</v>
      </c>
      <c r="BE81" s="2">
        <v>74</v>
      </c>
      <c r="BF81" s="245" t="s">
        <v>1544</v>
      </c>
      <c r="BG81" s="68" t="s">
        <v>1559</v>
      </c>
      <c r="BH81" s="69" t="s">
        <v>1560</v>
      </c>
      <c r="BI81" s="68" t="s">
        <v>1561</v>
      </c>
      <c r="BJ81" s="69" t="s">
        <v>1562</v>
      </c>
      <c r="BK81" s="69" t="s">
        <v>1563</v>
      </c>
      <c r="BL81" s="69" t="s">
        <v>1564</v>
      </c>
      <c r="BM81" s="69" t="s">
        <v>1565</v>
      </c>
    </row>
    <row r="82" spans="2:65" ht="12.75">
      <c r="B82" s="4"/>
      <c r="C82" s="4"/>
      <c r="D82" s="256"/>
      <c r="E82" s="266">
        <v>73</v>
      </c>
      <c r="F82" s="258"/>
      <c r="G82" s="259" t="str">
        <f>IF(ISBLANK(BG7),IF(MOD(A7,2),LOOKUP(E82,AK7:AM182),LOOKUP(E82,AU:AW)),IF(C27&gt;2,LOOKUP(E82,BE:BG),IF(C27=2,LOOKUP(E82,AU:AW),LOOKUP(E82,AK:AM))))</f>
        <v>Luke 2413-35 or John 20:19-23</v>
      </c>
      <c r="H82" s="260" t="str">
        <f>IF(ISBLANK(BG7),IF(MOD(A7,2),LOOKUP(E82,AK7:AN182),LOOKUP(E82,AU:AX)),IF(C27&gt;2,LOOKUP(E82,BE:BH),IF(C27=2,LOOKUP(E82,AU:AX),LOOKUP(E82,AK:AN))))</f>
        <v>John 14:1-14</v>
      </c>
      <c r="I82" s="260" t="str">
        <f>IF(ISBLANK(BG7),IF(MOD(A7,2),LOOKUP(E82,AK7:AO182),LOOKUP(E82,AU:AY)),IF(C27&gt;2,LOOKUP(E82,BE:BI),IF(C27=2,LOOKUP(E82,AU:AY),LOOKUP(E82,AK:AO))))</f>
        <v>John 14:15-31</v>
      </c>
      <c r="J82" s="260" t="str">
        <f>IF(ISBLANK(BG7),IF(MOD(A7,2),LOOKUP(E82,AK7:AP182),LOOKUP(E82,AU:AZ)),IF(C27&gt;2,LOOKUP(E82,BE:BJ),IF(C27=2,LOOKUP(E82,AU:AZ),LOOKUP(E82,AK:AP))))</f>
        <v>John 15:1-11</v>
      </c>
      <c r="K82" s="260" t="str">
        <f>IF(ISBLANK(BG7),IF(MOD(A7,2),LOOKUP(E82,AK7:AQ182),LOOKUP(E82,AU:BA)),IF(C27&gt;2,LOOKUP(E82,BE:BK),IF(C27=2,LOOKUP(E82,AU:BA),LOOKUP(E82,AK:AQ))))</f>
        <v>John 15:12-27</v>
      </c>
      <c r="L82" s="260" t="str">
        <f>IF(ISBLANK(BG7),IF(MOD(A7,2),LOOKUP(E82,AK7:AR182),LOOKUP(E82,AU:BB)),IF(C27&gt;2,LOOKUP(E82,BE:BL),IF(C27=2,LOOKUP(E82,AU:BB),LOOKUP(E82,AK:AR))))</f>
        <v>John 16:1-15</v>
      </c>
      <c r="M82" s="260" t="str">
        <f>IF(ISBLANK(BG7),IF(MOD(A7,2),LOOKUP(E82,AK7:AS182),LOOKUP(E82,AU:BC)),IF(C27&gt;2,LOOKUP(E82,BE:BM),IF(C27=2,LOOKUP(E82,AU:BC),LOOKUP(E82,AK:AS))))</f>
        <v>John 16:16-33</v>
      </c>
      <c r="N82" s="267"/>
      <c r="O82" s="99"/>
      <c r="R82" s="59"/>
      <c r="Z82" s="12"/>
      <c r="AI82" s="59">
        <f>LOOKUP(B13,S6:X152)</f>
        <v>41301</v>
      </c>
      <c r="AK82" s="2">
        <v>75</v>
      </c>
      <c r="AL82" s="13" t="s">
        <v>1566</v>
      </c>
      <c r="AM82" s="64" t="s">
        <v>1567</v>
      </c>
      <c r="AN82" s="64" t="s">
        <v>899</v>
      </c>
      <c r="AO82" s="63" t="s">
        <v>900</v>
      </c>
      <c r="AP82" s="64" t="s">
        <v>505</v>
      </c>
      <c r="AQ82" s="63" t="s">
        <v>901</v>
      </c>
      <c r="AR82" s="64" t="s">
        <v>902</v>
      </c>
      <c r="AS82" s="144" t="s">
        <v>903</v>
      </c>
      <c r="AU82" s="2">
        <v>75</v>
      </c>
      <c r="AV82" s="13" t="s">
        <v>1566</v>
      </c>
      <c r="AW82" s="67" t="s">
        <v>1568</v>
      </c>
      <c r="AX82" s="66" t="s">
        <v>1569</v>
      </c>
      <c r="AY82" s="67" t="s">
        <v>1570</v>
      </c>
      <c r="AZ82" s="66" t="s">
        <v>1571</v>
      </c>
      <c r="BA82" s="67" t="s">
        <v>1572</v>
      </c>
      <c r="BB82" s="66" t="s">
        <v>1573</v>
      </c>
      <c r="BC82" s="67" t="s">
        <v>1574</v>
      </c>
      <c r="BE82" s="2">
        <v>75</v>
      </c>
      <c r="BF82" s="13" t="s">
        <v>1566</v>
      </c>
      <c r="BG82" s="68" t="s">
        <v>1575</v>
      </c>
      <c r="BH82" s="69" t="s">
        <v>1576</v>
      </c>
      <c r="BI82" s="68" t="s">
        <v>1577</v>
      </c>
      <c r="BJ82" s="69" t="s">
        <v>1578</v>
      </c>
      <c r="BK82" s="69" t="s">
        <v>1579</v>
      </c>
      <c r="BL82" s="69" t="s">
        <v>1580</v>
      </c>
      <c r="BM82" s="69" t="s">
        <v>1581</v>
      </c>
    </row>
    <row r="83" spans="2:65" ht="12.75">
      <c r="B83" s="4"/>
      <c r="C83" s="4"/>
      <c r="D83" s="138">
        <f>B13+7</f>
        <v>41371</v>
      </c>
      <c r="E83" s="73">
        <v>74</v>
      </c>
      <c r="F83" s="250" t="s">
        <v>1582</v>
      </c>
      <c r="G83" s="263" t="str">
        <f>IF(ISBLANK(BG7),IF(MOD(A7,2),LOOKUP(E83,AK7:AM182),LOOKUP(E83,AU:AW)),IF(C27&gt;2,LOOKUP(E83,BE:BG),IF(C27=2,LOOKUP(E83,AU:AW),LOOKUP(E83,AK:AM))))</f>
        <v>Isaiah 43:8-13,</v>
      </c>
      <c r="H83" s="264" t="str">
        <f>IF(ISBLANK(BG7),IF(MOD(A7,2),LOOKUP(E83,AK7:AN182),LOOKUP(E83,AU:AX)),IF(C27&gt;2,LOOKUP(E83,BE:BH),IF(C27=2,LOOKUP(E83,AU:AX),LOOKUP(E83,AK:AN))))</f>
        <v>Daniel 1:1-21,</v>
      </c>
      <c r="I83" s="264" t="str">
        <f>IF(ISBLANK(BG7),IF(MOD(A7,2),LOOKUP(E83,AK7:AO182),LOOKUP(E83,AU:AY)),IF(C27&gt;2,LOOKUP(E83,BE:BI),IF(C27=2,LOOKUP(E83,AU:AY),LOOKUP(E83,AK:AO))))</f>
        <v>Daniel 2:1-16,</v>
      </c>
      <c r="J83" s="111" t="str">
        <f>IF(ISBLANK(BG7),IF(MOD(A7,2),LOOKUP(E83,AK7:AP182),LOOKUP(E83,AU:AZ)),IF(C27&gt;2,LOOKUP(E83,BE:BJ),IF(C27=2,LOOKUP(E83,AU:AZ),LOOKUP(E83,AK:AP))))</f>
        <v>Daniel 2:17-30,</v>
      </c>
      <c r="K83" s="111" t="str">
        <f>IF(ISBLANK(BG7),IF(MOD(A7,2),LOOKUP(E83,AK7:AQ182),LOOKUP(E83,AU:BA)),IF(C27&gt;2,LOOKUP(E83,BE:BK),IF(C27=2,LOOKUP(E83,AU:BA),LOOKUP(E83,AK:AQ))))</f>
        <v>Daniel 2:31-49,</v>
      </c>
      <c r="L83" s="111" t="str">
        <f>IF(ISBLANK(BG7),IF(MOD(A7,2),LOOKUP(E83,AK7:AR182),LOOKUP(E83,AU:BB)),IF(C27&gt;2,LOOKUP(E83,BE:BL),IF(C27=2,LOOKUP(E83,AU:BB),LOOKUP(E83,AK:AR))))</f>
        <v>Daniel 3:1-18,</v>
      </c>
      <c r="M83" s="111" t="str">
        <f>IF(ISBLANK(BG7),IF(MOD(A7,2),LOOKUP(E83,AK7:AS182),LOOKUP(E83,AU:BC)),IF(C27&gt;2,LOOKUP(E83,BE:BM),IF(C27=2,LOOKUP(E83,AU:BC),LOOKUP(E83,AK:AS))))</f>
        <v>Daniel 3:19-30,</v>
      </c>
      <c r="N83" s="251" t="s">
        <v>1582</v>
      </c>
      <c r="O83" s="109">
        <f>D83</f>
        <v>41371</v>
      </c>
      <c r="Z83" s="12"/>
      <c r="AI83" s="2" t="s">
        <v>1583</v>
      </c>
      <c r="AK83" s="2">
        <v>76</v>
      </c>
      <c r="AL83" s="248" t="s">
        <v>1584</v>
      </c>
      <c r="AM83" s="64" t="s">
        <v>1585</v>
      </c>
      <c r="AN83" s="64" t="s">
        <v>1586</v>
      </c>
      <c r="AO83" s="63" t="s">
        <v>1587</v>
      </c>
      <c r="AP83" s="64" t="s">
        <v>1120</v>
      </c>
      <c r="AQ83" s="63" t="s">
        <v>1588</v>
      </c>
      <c r="AR83" s="64" t="s">
        <v>1589</v>
      </c>
      <c r="AS83" s="144" t="s">
        <v>1590</v>
      </c>
      <c r="AU83" s="2">
        <v>76</v>
      </c>
      <c r="AV83" s="248" t="s">
        <v>1584</v>
      </c>
      <c r="AW83" s="104" t="s">
        <v>1585</v>
      </c>
      <c r="AX83" s="103" t="s">
        <v>1591</v>
      </c>
      <c r="AY83" s="104" t="s">
        <v>1592</v>
      </c>
      <c r="AZ83" s="103" t="s">
        <v>1525</v>
      </c>
      <c r="BA83" s="104" t="s">
        <v>1593</v>
      </c>
      <c r="BB83" s="103" t="s">
        <v>1527</v>
      </c>
      <c r="BC83" s="104" t="s">
        <v>1528</v>
      </c>
      <c r="BE83" s="2">
        <v>76</v>
      </c>
      <c r="BF83" s="248" t="s">
        <v>1584</v>
      </c>
      <c r="BG83" s="68" t="s">
        <v>1594</v>
      </c>
      <c r="BH83" s="69" t="s">
        <v>1595</v>
      </c>
      <c r="BI83" s="68" t="s">
        <v>1596</v>
      </c>
      <c r="BJ83" s="69" t="s">
        <v>1597</v>
      </c>
      <c r="BK83" s="69" t="s">
        <v>1598</v>
      </c>
      <c r="BL83" s="69" t="s">
        <v>1599</v>
      </c>
      <c r="BM83" s="69" t="s">
        <v>1600</v>
      </c>
    </row>
    <row r="84" spans="2:65" ht="12.75">
      <c r="B84" s="4"/>
      <c r="C84" s="4"/>
      <c r="D84" s="138"/>
      <c r="E84" s="73">
        <v>75</v>
      </c>
      <c r="F84" s="250"/>
      <c r="G84" s="255" t="str">
        <f>IF(ISBLANK(BG7),IF(MOD(A7,2),LOOKUP(E84,AK7:AM182),LOOKUP(E84,AU:AW)),IF(C27&gt;2,LOOKUP(E84,BE:BG),IF(C27=2,LOOKUP(E84,AU:AW),LOOKUP(E84,AK:AM))))</f>
        <v>1 Peter 2:2-10,</v>
      </c>
      <c r="H84" s="111" t="str">
        <f>IF(ISBLANK(BG7),IF(MOD(A7,2),LOOKUP(E84,AK7:AN182),LOOKUP(E84,AU:AX)),IF(C27&gt;2,LOOKUP(E84,BE:BH),IF(C27=2,LOOKUP(E84,AU:AX),LOOKUP(E84,AK:AN))))</f>
        <v>1 John 1:1-10,</v>
      </c>
      <c r="I84" s="111" t="str">
        <f>IF(ISBLANK(BG7),IF(MOD(A7,2),LOOKUP(E84,AK7:AO182),LOOKUP(E84,AU:AY)),IF(C27&gt;2,LOOKUP(E84,BE:BI),IF(C27=2,LOOKUP(E84,AU:AY),LOOKUP(E84,AK:AO))))</f>
        <v>1 John 2:1-11,</v>
      </c>
      <c r="J84" s="111" t="str">
        <f>IF(ISBLANK(BG7),IF(MOD(A7,2),LOOKUP(E84,AK7:AP182),LOOKUP(E84,AU:AZ)),IF(C27&gt;2,LOOKUP(E84,BE:BJ),IF(C27=2,LOOKUP(E84,AU:AZ),LOOKUP(E84,AK:AP))))</f>
        <v>1 John 2:12-17,</v>
      </c>
      <c r="K84" s="111" t="str">
        <f>IF(ISBLANK(BG7),IF(MOD(A7,2),LOOKUP(E84,AK7:AQ182),LOOKUP(E84,AU:BA)),IF(C27&gt;2,LOOKUP(E84,BE:BK),IF(C27=2,LOOKUP(E84,AU:BA),LOOKUP(E84,AK:AQ))))</f>
        <v>1 John 2:18-29,</v>
      </c>
      <c r="L84" s="111" t="str">
        <f>IF(ISBLANK(BG7),IF(MOD(A7,2),LOOKUP(E84,AK7:AR182),LOOKUP(E84,AU:BB)),IF(C27&gt;2,LOOKUP(E84,BE:BL),IF(C27=2,LOOKUP(E84,AU:BB),LOOKUP(E84,AK:AR))))</f>
        <v>1 John 3:1-10,</v>
      </c>
      <c r="M84" s="111" t="str">
        <f>IF(ISBLANK(BG7),IF(MOD(A7,2),LOOKUP(E84,AK7:AS182),LOOKUP(E84,AU:BC)),IF(C27&gt;2,LOOKUP(E84,BE:BM),IF(C27=2,LOOKUP(E84,AU:BC),LOOKUP(E84,AK:AS))))</f>
        <v>1 John 3:11-18,</v>
      </c>
      <c r="N84" s="251"/>
      <c r="O84" s="78"/>
      <c r="R84" s="59"/>
      <c r="Z84" s="12"/>
      <c r="AI84" s="59">
        <f>LOOKUP(B13+1,S6:X152)</f>
        <v>41302</v>
      </c>
      <c r="AK84" s="2">
        <v>77</v>
      </c>
      <c r="AL84" s="13" t="s">
        <v>1601</v>
      </c>
      <c r="AM84" s="89" t="s">
        <v>1602</v>
      </c>
      <c r="AN84" s="89" t="s">
        <v>1603</v>
      </c>
      <c r="AO84" s="88" t="s">
        <v>1604</v>
      </c>
      <c r="AP84" s="89" t="s">
        <v>1605</v>
      </c>
      <c r="AQ84" s="88" t="s">
        <v>1606</v>
      </c>
      <c r="AR84" s="89" t="s">
        <v>1607</v>
      </c>
      <c r="AS84" s="242" t="s">
        <v>1608</v>
      </c>
      <c r="AU84" s="2">
        <v>77</v>
      </c>
      <c r="AV84" s="13" t="s">
        <v>1601</v>
      </c>
      <c r="AW84" s="67" t="s">
        <v>1609</v>
      </c>
      <c r="AX84" s="66" t="s">
        <v>1610</v>
      </c>
      <c r="AY84" s="67" t="s">
        <v>1611</v>
      </c>
      <c r="AZ84" s="66" t="s">
        <v>1612</v>
      </c>
      <c r="BA84" s="67" t="s">
        <v>1613</v>
      </c>
      <c r="BB84" s="66" t="s">
        <v>1614</v>
      </c>
      <c r="BC84" s="67" t="s">
        <v>1615</v>
      </c>
      <c r="BE84" s="2">
        <v>77</v>
      </c>
      <c r="BF84" s="13" t="s">
        <v>1601</v>
      </c>
      <c r="BG84" s="68" t="s">
        <v>1616</v>
      </c>
      <c r="BH84" s="69" t="s">
        <v>1617</v>
      </c>
      <c r="BI84" s="68" t="s">
        <v>1618</v>
      </c>
      <c r="BJ84" s="69" t="s">
        <v>1619</v>
      </c>
      <c r="BK84" s="69" t="s">
        <v>1620</v>
      </c>
      <c r="BL84" s="69" t="s">
        <v>1621</v>
      </c>
      <c r="BM84" s="69" t="s">
        <v>1622</v>
      </c>
    </row>
    <row r="85" spans="2:65" ht="12.75">
      <c r="B85" s="4"/>
      <c r="C85" s="4"/>
      <c r="D85" s="138"/>
      <c r="E85" s="73">
        <v>76</v>
      </c>
      <c r="F85" s="250"/>
      <c r="G85" s="199" t="str">
        <f>IF(ISBLANK(BG7),IF(MOD(A7,2),LOOKUP(E85,AK7:AM182),LOOKUP(E85,AU:AW)),IF(C27&gt;2,LOOKUP(E85,BE:BG),IF(C27=2,LOOKUP(E85,AU:AW),LOOKUP(E85,AK:AM))))</f>
        <v>John 14:1-7</v>
      </c>
      <c r="H85" s="260" t="str">
        <f>IF(ISBLANK(BG7),IF(MOD(A7,2),LOOKUP(E85,AK7:AN182),LOOKUP(E85,AU:AX)),IF(C27&gt;2,LOOKUP(E85,BE:BH),IF(C27=2,LOOKUP(E85,AU:AX),LOOKUP(E85,AK:AN))))</f>
        <v>John 17:1-11</v>
      </c>
      <c r="I85" s="260" t="str">
        <f>IF(ISBLANK(BG7),IF(MOD(A7,2),LOOKUP(E85,AK7:AO182),LOOKUP(E85,AU:AY)),IF(C27&gt;2,LOOKUP(E85,BE:BI),IF(C27=2,LOOKUP(E85,AU:AY),LOOKUP(E85,AK:AO))))</f>
        <v>John 17:12-19</v>
      </c>
      <c r="J85" s="111" t="str">
        <f>IF(ISBLANK(BG7),IF(MOD(A7,2),LOOKUP(E85,AK7:AP182),LOOKUP(E85,AU:AZ)),IF(C27&gt;2,LOOKUP(E85,BE:BJ),IF(C27=2,LOOKUP(E85,AU:AZ),LOOKUP(E85,AK:AP))))</f>
        <v>John 17:20-26</v>
      </c>
      <c r="K85" s="111" t="str">
        <f>IF(ISBLANK(BG7),IF(MOD(A7,2),LOOKUP(E85,AK7:AQ182),LOOKUP(E85,AU:BA)),IF(C27&gt;2,LOOKUP(E85,BE:BK),IF(C27=2,LOOKUP(E85,AU:BA),LOOKUP(E85,AK:AQ))))</f>
        <v>Luke 3:1-14</v>
      </c>
      <c r="L85" s="111" t="str">
        <f>IF(ISBLANK(BG7),IF(MOD(A7,2),LOOKUP(E85,AK7:AR182),LOOKUP(E85,AU:BB)),IF(C27&gt;2,LOOKUP(E85,BE:BL),IF(C27=2,LOOKUP(E85,AU:BB),LOOKUP(E85,AK:AR))))</f>
        <v>Luke 3:15-22</v>
      </c>
      <c r="M85" s="111" t="str">
        <f>IF(ISBLANK(BG7),IF(MOD(A7,2),LOOKUP(E85,AK7:AS182),LOOKUP(E85,AU:BC)),IF(C27&gt;2,LOOKUP(E85,BE:BM),IF(C27=2,LOOKUP(E85,AU:BC),LOOKUP(E85,AK:AS))))</f>
        <v>Luke 4:1-13</v>
      </c>
      <c r="N85" s="251"/>
      <c r="O85" s="78"/>
      <c r="R85" s="59"/>
      <c r="Z85" s="12"/>
      <c r="AI85" s="2" t="s">
        <v>1623</v>
      </c>
      <c r="AK85" s="2">
        <v>78</v>
      </c>
      <c r="AL85" s="13" t="s">
        <v>1624</v>
      </c>
      <c r="AM85" s="64" t="s">
        <v>1625</v>
      </c>
      <c r="AN85" s="64" t="s">
        <v>1626</v>
      </c>
      <c r="AO85" s="63" t="s">
        <v>966</v>
      </c>
      <c r="AP85" s="64" t="s">
        <v>355</v>
      </c>
      <c r="AQ85" s="63" t="s">
        <v>1627</v>
      </c>
      <c r="AR85" s="64" t="s">
        <v>360</v>
      </c>
      <c r="AS85" s="144" t="s">
        <v>361</v>
      </c>
      <c r="AU85" s="2">
        <v>78</v>
      </c>
      <c r="AV85" s="13" t="s">
        <v>1624</v>
      </c>
      <c r="AW85" s="67" t="s">
        <v>1628</v>
      </c>
      <c r="AX85" s="66" t="s">
        <v>1629</v>
      </c>
      <c r="AY85" s="67" t="s">
        <v>509</v>
      </c>
      <c r="AZ85" s="66" t="s">
        <v>1630</v>
      </c>
      <c r="BA85" s="67" t="s">
        <v>511</v>
      </c>
      <c r="BB85" s="66" t="s">
        <v>512</v>
      </c>
      <c r="BC85" s="67" t="s">
        <v>513</v>
      </c>
      <c r="BE85" s="2">
        <v>78</v>
      </c>
      <c r="BF85" s="13" t="s">
        <v>1624</v>
      </c>
      <c r="BG85" s="68" t="s">
        <v>1631</v>
      </c>
      <c r="BH85" s="69" t="s">
        <v>1632</v>
      </c>
      <c r="BI85" s="68" t="s">
        <v>1633</v>
      </c>
      <c r="BJ85" s="69" t="s">
        <v>1634</v>
      </c>
      <c r="BK85" s="69" t="s">
        <v>1635</v>
      </c>
      <c r="BL85" s="69" t="s">
        <v>1636</v>
      </c>
      <c r="BM85" s="69" t="s">
        <v>1637</v>
      </c>
    </row>
    <row r="86" spans="2:65" ht="12.75">
      <c r="B86" s="4"/>
      <c r="C86" s="4"/>
      <c r="D86" s="254">
        <f>B13+14</f>
        <v>41378</v>
      </c>
      <c r="E86" s="261">
        <v>77</v>
      </c>
      <c r="F86" s="262" t="s">
        <v>1638</v>
      </c>
      <c r="G86" s="107" t="str">
        <f>IF(ISBLANK(BG7),IF(MOD(A7,2),LOOKUP(E86,AK7:AM182),LOOKUP(E86,AU:AW)),IF(C27&gt;2,LOOKUP(E86,BE:BG),IF(C27=2,LOOKUP(E86,AU:AW),LOOKUP(E86,AK:AM))))</f>
        <v>Daniel 4:1-18,</v>
      </c>
      <c r="H86" s="264" t="str">
        <f>IF(ISBLANK(BG7),IF(MOD(A7,2),LOOKUP(E86,AK7:AN182),LOOKUP(E86,AU:AX)),IF(C27&gt;2,LOOKUP(E86,BE:BH),IF(C27=2,LOOKUP(E86,AU:AX),LOOKUP(E86,AK:AN))))</f>
        <v>Daniel 4:19-27,</v>
      </c>
      <c r="I86" s="264" t="str">
        <f>IF(ISBLANK(BG7),IF(MOD(A7,2),LOOKUP(E86,AK7:AO182),LOOKUP(E86,AU:AY)),IF(C27&gt;2,LOOKUP(E86,BE:BI),IF(C27=2,LOOKUP(E86,AU:AY),LOOKUP(E86,AK:AO))))</f>
        <v>Daniel 4:28-37,</v>
      </c>
      <c r="J86" s="264" t="str">
        <f>IF(ISBLANK(BG7),IF(MOD(A7,2),LOOKUP(E86,AK7:AP182),LOOKUP(E86,AU:AZ)),IF(C27&gt;2,LOOKUP(E86,BE:BJ),IF(C27=2,LOOKUP(E86,AU:AZ),LOOKUP(E86,AK:AP))))</f>
        <v>Daniel 5:1-12,</v>
      </c>
      <c r="K86" s="264" t="str">
        <f>IF(ISBLANK(BG7),IF(MOD(A7,2),LOOKUP(E86,AK7:AQ182),LOOKUP(E86,AU:BA)),IF(C27&gt;2,LOOKUP(E86,BE:BK),IF(C27=2,LOOKUP(E86,AU:BA),LOOKUP(E86,AK:AQ))))</f>
        <v>Daniel 5:13-30,</v>
      </c>
      <c r="L86" s="264" t="str">
        <f>IF(ISBLANK(BG7),IF(MOD(A7,2),LOOKUP(E86,AK7:AR182),LOOKUP(E86,AU:BB)),IF(C27&gt;2,LOOKUP(E86,BE:BL),IF(C27=2,LOOKUP(E86,AU:BB),LOOKUP(E86,AK:AR))))</f>
        <v>Daniel 6:1-15,</v>
      </c>
      <c r="M86" s="264" t="str">
        <f>IF(ISBLANK(BG7),IF(MOD(A7,2),LOOKUP(E86,AK7:AS182),LOOKUP(E86,AU:BC)),IF(C27&gt;2,LOOKUP(E86,BE:BM),IF(C27=2,LOOKUP(E86,AU:BC),LOOKUP(E86,AK:AS))))</f>
        <v>Daniel 6:16-28,</v>
      </c>
      <c r="N86" s="265" t="s">
        <v>1638</v>
      </c>
      <c r="O86" s="56">
        <f>D86</f>
        <v>41378</v>
      </c>
      <c r="Z86" s="12"/>
      <c r="AI86" s="59">
        <f>LOOKUP(B13,S7:Z152)</f>
        <v>41318</v>
      </c>
      <c r="AK86" s="2">
        <v>79</v>
      </c>
      <c r="AL86" s="13" t="s">
        <v>1639</v>
      </c>
      <c r="AM86" s="102" t="s">
        <v>1640</v>
      </c>
      <c r="AN86" s="102" t="s">
        <v>1641</v>
      </c>
      <c r="AO86" s="101" t="s">
        <v>1642</v>
      </c>
      <c r="AP86" s="102" t="s">
        <v>1643</v>
      </c>
      <c r="AQ86" s="101" t="s">
        <v>1644</v>
      </c>
      <c r="AR86" s="102" t="s">
        <v>1645</v>
      </c>
      <c r="AS86" s="249" t="s">
        <v>1646</v>
      </c>
      <c r="AU86" s="2">
        <v>79</v>
      </c>
      <c r="AV86" s="13" t="s">
        <v>1639</v>
      </c>
      <c r="AW86" s="67" t="s">
        <v>1531</v>
      </c>
      <c r="AX86" s="66" t="s">
        <v>1647</v>
      </c>
      <c r="AY86" s="67" t="s">
        <v>1648</v>
      </c>
      <c r="AZ86" s="66" t="s">
        <v>1649</v>
      </c>
      <c r="BA86" s="67" t="s">
        <v>1650</v>
      </c>
      <c r="BB86" s="66" t="s">
        <v>1651</v>
      </c>
      <c r="BC86" s="67" t="s">
        <v>1652</v>
      </c>
      <c r="BE86" s="2">
        <v>79</v>
      </c>
      <c r="BF86" s="13" t="s">
        <v>1639</v>
      </c>
      <c r="BG86" s="68" t="s">
        <v>1653</v>
      </c>
      <c r="BH86" s="69" t="s">
        <v>1654</v>
      </c>
      <c r="BI86" s="68" t="s">
        <v>1655</v>
      </c>
      <c r="BJ86" s="69" t="s">
        <v>1656</v>
      </c>
      <c r="BK86" s="69" t="s">
        <v>1657</v>
      </c>
      <c r="BL86" s="69" t="s">
        <v>1658</v>
      </c>
      <c r="BM86" s="69" t="s">
        <v>1659</v>
      </c>
    </row>
    <row r="87" spans="2:65" ht="12.75">
      <c r="B87" s="4"/>
      <c r="C87" s="4"/>
      <c r="D87" s="138"/>
      <c r="E87" s="73">
        <v>78</v>
      </c>
      <c r="F87" s="250"/>
      <c r="G87" s="255" t="str">
        <f>IF(ISBLANK(BG7),IF(MOD(A7,2),LOOKUP(E87,AK7:AM182),LOOKUP(E87,AU:AW)),IF(C27&gt;2,LOOKUP(E87,BE:BG),IF(C27=2,LOOKUP(E87,AU:AW),LOOKUP(E87,AK:AM))))</f>
        <v>1 Peter 4:7-11,</v>
      </c>
      <c r="H87" s="111" t="str">
        <f>IF(ISBLANK(BG7),IF(MOD(A7,2),LOOKUP(E87,AK7:AN182),LOOKUP(E87,AU:AX)),IF(C27&gt;2,LOOKUP(E87,BE:BH),IF(C27=2,LOOKUP(E87,AU:AX),LOOKUP(E87,AK:AN))))</f>
        <v>1 John 3:19-4:6,</v>
      </c>
      <c r="I87" s="111" t="str">
        <f>IF(ISBLANK(BG7),IF(MOD(A7,2),LOOKUP(E87,AK7:AO182),LOOKUP(E87,AU:AY)),IF(C27&gt;2,LOOKUP(E87,BE:BI),IF(C27=2,LOOKUP(E87,AU:AY),LOOKUP(E87,AK:AO))))</f>
        <v>1 John 4:7-21,</v>
      </c>
      <c r="J87" s="111" t="str">
        <f>IF(ISBLANK(BG7),IF(MOD(A7,2),LOOKUP(E87,AK7:AP182),LOOKUP(E87,AU:AZ)),IF(C27&gt;2,LOOKUP(E87,BE:BJ),IF(C27=2,LOOKUP(E87,AU:AZ),LOOKUP(E87,AK:AP))))</f>
        <v>1 John 5:1-12,</v>
      </c>
      <c r="K87" s="111" t="str">
        <f>IF(ISBLANK(BG7),IF(MOD(A7,2),LOOKUP(E87,AK7:AQ182),LOOKUP(E87,AU:BA)),IF(C27&gt;2,LOOKUP(E87,BE:BK),IF(C27=2,LOOKUP(E87,AU:BA),LOOKUP(E87,AK:AQ))))</f>
        <v>1 John 5:13-20 (21),</v>
      </c>
      <c r="L87" s="111" t="str">
        <f>IF(ISBLANK(BG7),IF(MOD(A7,2),LOOKUP(E87,AK7:AR182),LOOKUP(E87,AU:BB)),IF(C27&gt;2,LOOKUP(E87,BE:BL),IF(C27=2,LOOKUP(E87,AU:BB),LOOKUP(E87,AK:AR))))</f>
        <v>2 John 1-13,</v>
      </c>
      <c r="M87" s="111" t="str">
        <f>IF(ISBLANK(BG7),IF(MOD(A7,2),LOOKUP(E87,AK7:AS182),LOOKUP(E87,AU:BC)),IF(C27&gt;2,LOOKUP(E87,BE:BM),IF(C27=2,LOOKUP(E87,AU:BC),LOOKUP(E87,AK:AS))))</f>
        <v>3 John 1-15,</v>
      </c>
      <c r="N87" s="251"/>
      <c r="O87" s="109"/>
      <c r="S87" s="59"/>
      <c r="T87" s="59"/>
      <c r="X87" s="59"/>
      <c r="Z87" s="12"/>
      <c r="AB87" s="59"/>
      <c r="AD87" s="59"/>
      <c r="AG87" s="59"/>
      <c r="AH87" s="59"/>
      <c r="AI87" s="2" t="s">
        <v>1660</v>
      </c>
      <c r="AK87" s="2">
        <v>80</v>
      </c>
      <c r="AL87" s="245" t="s">
        <v>1661</v>
      </c>
      <c r="AM87" s="64" t="s">
        <v>1662</v>
      </c>
      <c r="AN87" s="64" t="s">
        <v>1663</v>
      </c>
      <c r="AO87" s="63" t="s">
        <v>1664</v>
      </c>
      <c r="AP87" s="64" t="s">
        <v>1665</v>
      </c>
      <c r="AQ87" s="63" t="s">
        <v>1666</v>
      </c>
      <c r="AR87" s="64" t="s">
        <v>1667</v>
      </c>
      <c r="AS87" s="144" t="s">
        <v>1668</v>
      </c>
      <c r="AU87" s="2">
        <v>80</v>
      </c>
      <c r="AV87" s="245" t="s">
        <v>1661</v>
      </c>
      <c r="AW87" s="91" t="s">
        <v>1669</v>
      </c>
      <c r="AX87" s="90" t="s">
        <v>1670</v>
      </c>
      <c r="AY87" s="91" t="s">
        <v>1671</v>
      </c>
      <c r="AZ87" s="90" t="s">
        <v>1672</v>
      </c>
      <c r="BA87" s="91" t="s">
        <v>1673</v>
      </c>
      <c r="BB87" s="90" t="s">
        <v>1674</v>
      </c>
      <c r="BC87" s="91" t="s">
        <v>1675</v>
      </c>
      <c r="BE87" s="2">
        <v>80</v>
      </c>
      <c r="BF87" s="245" t="s">
        <v>1661</v>
      </c>
      <c r="BG87" s="68" t="s">
        <v>1676</v>
      </c>
      <c r="BH87" s="69" t="s">
        <v>1677</v>
      </c>
      <c r="BI87" s="68" t="s">
        <v>1678</v>
      </c>
      <c r="BJ87" s="69" t="s">
        <v>1679</v>
      </c>
      <c r="BK87" s="69" t="s">
        <v>1680</v>
      </c>
      <c r="BL87" s="69" t="s">
        <v>1681</v>
      </c>
      <c r="BM87" s="69" t="s">
        <v>1682</v>
      </c>
    </row>
    <row r="88" spans="2:65" ht="12.75">
      <c r="B88" s="4"/>
      <c r="C88" s="4"/>
      <c r="D88" s="256"/>
      <c r="E88" s="266">
        <v>79</v>
      </c>
      <c r="F88" s="258"/>
      <c r="G88" s="199" t="str">
        <f>IF(ISBLANK(BG7),IF(MOD(A7,2),LOOKUP(E88,AK7:AM182),LOOKUP(E88,AU:AW)),IF(C27&gt;2,LOOKUP(E88,BE:BG),IF(C27=2,LOOKUP(E88,AU:AW),LOOKUP(E88,AK:AM))))</f>
        <v>John 21:15-25</v>
      </c>
      <c r="H88" s="260" t="str">
        <f>IF(ISBLANK(BG7),IF(MOD(A7,2),LOOKUP(E88,AK7:AN182),LOOKUP(E88,AU:AX)),IF(C27&gt;2,LOOKUP(E88,BE:BH),IF(C27=2,LOOKUP(E88,AU:AX),LOOKUP(E88,AK:AN))))</f>
        <v>Luke 4:14-30</v>
      </c>
      <c r="I88" s="260" t="str">
        <f>IF(ISBLANK(BG7),IF(MOD(A7,2),LOOKUP(E88,AK7:AO182),LOOKUP(E88,AU:AY)),IF(C27&gt;2,LOOKUP(E88,BE:BI),IF(C27=2,LOOKUP(E88,AU:AY),LOOKUP(E88,AK:AO))))</f>
        <v>Luke 4:31-37</v>
      </c>
      <c r="J88" s="260" t="str">
        <f>IF(ISBLANK(BG7),IF(MOD(A7,2),LOOKUP(E88,AK7:AP182),LOOKUP(E88,AU:AZ)),IF(C27&gt;2,LOOKUP(E88,BE:BJ),IF(C27=2,LOOKUP(E88,AU:AZ),LOOKUP(E88,AK:AP))))</f>
        <v>Luke 4:38-44</v>
      </c>
      <c r="K88" s="260" t="str">
        <f>IF(ISBLANK(BG7),IF(MOD(A7,2),LOOKUP(E88,AK7:AQ182),LOOKUP(E88,AU:BA)),IF(C27&gt;2,LOOKUP(E88,BE:BK),IF(C27=2,LOOKUP(E88,AU:BA),LOOKUP(E88,AK:AQ))))</f>
        <v>Luke 5:1-11</v>
      </c>
      <c r="L88" s="260" t="str">
        <f>IF(ISBLANK(BG7),IF(MOD(A7,2),LOOKUP(E88,AK7:AR182),LOOKUP(E88,AU:BB)),IF(C27&gt;2,LOOKUP(E88,BE:BL),IF(C27=2,LOOKUP(E88,AU:BB),LOOKUP(E88,AK:AR))))</f>
        <v>Luke 5:12-26</v>
      </c>
      <c r="M88" s="260" t="str">
        <f>IF(ISBLANK(BG7),IF(MOD(A7,2),LOOKUP(E88,AK7:AS182),LOOKUP(E88,AU:BC)),IF(C27&gt;2,LOOKUP(E88,BE:BM),IF(C27=2,LOOKUP(E88,AU:BC),LOOKUP(E88,AK:AS))))</f>
        <v>Luke 5:27-39</v>
      </c>
      <c r="N88" s="267"/>
      <c r="O88" s="99"/>
      <c r="S88" s="59"/>
      <c r="T88" s="59"/>
      <c r="X88" s="59"/>
      <c r="Z88" s="12"/>
      <c r="AB88" s="59"/>
      <c r="AD88" s="59"/>
      <c r="AG88" s="59"/>
      <c r="AH88" s="59"/>
      <c r="AI88" s="59">
        <f>LOOKUP(B13+1,S7:Z152)</f>
        <v>41319</v>
      </c>
      <c r="AK88" s="2">
        <v>81</v>
      </c>
      <c r="AL88" s="13" t="s">
        <v>1683</v>
      </c>
      <c r="AM88" s="64" t="s">
        <v>1684</v>
      </c>
      <c r="AN88" s="64" t="s">
        <v>509</v>
      </c>
      <c r="AO88" s="63" t="s">
        <v>510</v>
      </c>
      <c r="AP88" s="64" t="s">
        <v>511</v>
      </c>
      <c r="AQ88" s="63" t="s">
        <v>512</v>
      </c>
      <c r="AR88" s="64" t="s">
        <v>1685</v>
      </c>
      <c r="AS88" s="144" t="s">
        <v>508</v>
      </c>
      <c r="AU88" s="2">
        <v>81</v>
      </c>
      <c r="AV88" s="13" t="s">
        <v>1683</v>
      </c>
      <c r="AW88" s="67" t="s">
        <v>901</v>
      </c>
      <c r="AX88" s="66" t="s">
        <v>1686</v>
      </c>
      <c r="AY88" s="67" t="s">
        <v>71</v>
      </c>
      <c r="AZ88" s="66" t="s">
        <v>72</v>
      </c>
      <c r="BA88" s="67" t="s">
        <v>73</v>
      </c>
      <c r="BB88" s="66" t="s">
        <v>74</v>
      </c>
      <c r="BC88" s="67" t="s">
        <v>75</v>
      </c>
      <c r="BE88" s="2">
        <v>81</v>
      </c>
      <c r="BF88" s="13" t="s">
        <v>1683</v>
      </c>
      <c r="BG88" s="68" t="s">
        <v>1687</v>
      </c>
      <c r="BH88" s="69" t="s">
        <v>1688</v>
      </c>
      <c r="BI88" s="68" t="s">
        <v>1689</v>
      </c>
      <c r="BJ88" s="69" t="s">
        <v>1690</v>
      </c>
      <c r="BK88" s="69" t="s">
        <v>1691</v>
      </c>
      <c r="BL88" s="69" t="s">
        <v>1692</v>
      </c>
      <c r="BM88" s="69" t="s">
        <v>1693</v>
      </c>
    </row>
    <row r="89" spans="2:65" ht="12.75">
      <c r="B89" s="4"/>
      <c r="C89" s="4"/>
      <c r="D89" s="138">
        <f>B13+21</f>
        <v>41385</v>
      </c>
      <c r="E89" s="73">
        <v>80</v>
      </c>
      <c r="F89" s="262" t="s">
        <v>1694</v>
      </c>
      <c r="G89" s="107" t="str">
        <f>IF(ISBLANK(BG7),IF(MOD(A7,2),LOOKUP(E89,AK7:AM182),LOOKUP(E89,AU:AW)),IF(C27&gt;2,LOOKUP(E89,BE:BG),IF(C27=2,LOOKUP(E89,AU:AW),LOOKUP(E89,AK:AM))))</f>
        <v>Genesis 18:22-33,</v>
      </c>
      <c r="H89" s="264" t="str">
        <f>IF(ISBLANK(BG7),IF(MOD(A7,2),LOOKUP(E89,AK7:AN182),LOOKUP(E89,AU:AX)),IF(C27&gt;2,LOOKUP(E89,BE:BH),IF(C27=2,LOOKUP(E89,AU:AX),LOOKUP(E89,AK:AN))))</f>
        <v>Jeremiah 30:1-9,</v>
      </c>
      <c r="I89" s="264" t="str">
        <f>IF(ISBLANK(BG7),IF(MOD(A7,2),LOOKUP(E89,AK7:AO182),LOOKUP(E89,AU:AY)),IF(C27&gt;2,LOOKUP(E89,BE:BI),IF(C27=2,LOOKUP(E89,AU:AY),LOOKUP(E89,AK:AO))))</f>
        <v>Jeremiah 30:10-17,</v>
      </c>
      <c r="J89" s="276" t="str">
        <f>IF(ISBLANK(BG7),IF(MOD(A7,2),LOOKUP(E89,AK7:AP182),LOOKUP(E89,AU:AZ)),IF(C27&gt;2,LOOKUP(E89,BE:BJ),IF(C27=2,LOOKUP(E89,AU:AZ),LOOKUP(E89,AK:AP))))</f>
        <v>Jeremiah 30:18-22,</v>
      </c>
      <c r="K89" s="264" t="str">
        <f>IF(ISBLANK(BG7),IF(MOD(A7,2),LOOKUP(E89,AK7:AQ182),LOOKUP(E89,AU:BA)),IF(C27&gt;2,LOOKUP(E89,BE:BK),IF(C27=2,LOOKUP(E89,AU:BA),LOOKUP(E89,AK:AQ))))</f>
        <v>Jeremiah 31:1-14,</v>
      </c>
      <c r="L89" s="264" t="str">
        <f>IF(ISBLANK(BG7),IF(MOD(A7,2),LOOKUP(E89,AK7:AR182),LOOKUP(E89,AU:BB)),IF(C27&gt;2,LOOKUP(E89,BE:BL),IF(C27=2,LOOKUP(E89,AU:BB),LOOKUP(E89,AK:AR))))</f>
        <v>Jeremiah 31:15-22,</v>
      </c>
      <c r="M89" s="264" t="str">
        <f>IF(ISBLANK(BG7),IF(MOD(A7,2),LOOKUP(E89,AK7:AS182),LOOKUP(E89,AU:BC)),IF(C27&gt;2,LOOKUP(E89,BE:BM),IF(C27=2,LOOKUP(E89,AU:BC),LOOKUP(E89,AK:AS))))</f>
        <v>Jeremiah 31:12-17,</v>
      </c>
      <c r="N89" s="251" t="s">
        <v>1694</v>
      </c>
      <c r="O89" s="109">
        <f>D89</f>
        <v>41385</v>
      </c>
      <c r="Z89" s="12"/>
      <c r="AK89" s="2">
        <v>82</v>
      </c>
      <c r="AL89" s="248" t="s">
        <v>1695</v>
      </c>
      <c r="AM89" s="64" t="s">
        <v>1696</v>
      </c>
      <c r="AN89" s="64" t="s">
        <v>1697</v>
      </c>
      <c r="AO89" s="63" t="s">
        <v>1698</v>
      </c>
      <c r="AP89" s="64" t="s">
        <v>1699</v>
      </c>
      <c r="AQ89" s="63" t="s">
        <v>1700</v>
      </c>
      <c r="AR89" s="64" t="s">
        <v>1701</v>
      </c>
      <c r="AS89" s="144" t="s">
        <v>1702</v>
      </c>
      <c r="AU89" s="2">
        <v>82</v>
      </c>
      <c r="AV89" s="248" t="s">
        <v>1695</v>
      </c>
      <c r="AW89" s="104" t="s">
        <v>1703</v>
      </c>
      <c r="AX89" s="103" t="s">
        <v>1704</v>
      </c>
      <c r="AY89" s="104" t="s">
        <v>1705</v>
      </c>
      <c r="AZ89" s="103" t="s">
        <v>1706</v>
      </c>
      <c r="BA89" s="104" t="s">
        <v>980</v>
      </c>
      <c r="BB89" s="103" t="s">
        <v>981</v>
      </c>
      <c r="BC89" s="104" t="s">
        <v>982</v>
      </c>
      <c r="BE89" s="2">
        <v>82</v>
      </c>
      <c r="BF89" s="248" t="s">
        <v>1695</v>
      </c>
      <c r="BG89" s="68" t="s">
        <v>1707</v>
      </c>
      <c r="BH89" s="69" t="s">
        <v>1708</v>
      </c>
      <c r="BI89" s="68" t="s">
        <v>1709</v>
      </c>
      <c r="BJ89" s="69" t="s">
        <v>1710</v>
      </c>
      <c r="BK89" s="69" t="s">
        <v>1711</v>
      </c>
      <c r="BL89" s="69" t="s">
        <v>1712</v>
      </c>
      <c r="BM89" s="69" t="s">
        <v>1713</v>
      </c>
    </row>
    <row r="90" spans="2:65" ht="12.75">
      <c r="B90" s="4"/>
      <c r="C90" s="4"/>
      <c r="D90" s="138"/>
      <c r="E90" s="73">
        <v>81</v>
      </c>
      <c r="F90" s="250"/>
      <c r="G90" s="255" t="str">
        <f>IF(ISBLANK(BG7),IF(MOD(A7,2),LOOKUP(E90,AK7:AM182),LOOKUP(E90,AU:AW)),IF(C27&gt;2,LOOKUP(E90,BE:BG),IF(C27=2,LOOKUP(E90,AU:AW),LOOKUP(E90,AK:AM))))</f>
        <v>1 Peter 5:1-11,</v>
      </c>
      <c r="H90" s="111" t="str">
        <f>IF(ISBLANK(BG7),IF(MOD(A7,2),LOOKUP(E90,AK7:AN182),LOOKUP(E90,AU:AX)),IF(C27&gt;2,LOOKUP(E90,BE:BH),IF(C27=2,LOOKUP(E90,AU:AX),LOOKUP(E90,AK:AN))))</f>
        <v>Colossians 1:1-14,</v>
      </c>
      <c r="I90" s="111" t="str">
        <f>IF(ISBLANK(BG7),IF(MOD(A7,2),LOOKUP(E90,AK7:AO182),LOOKUP(E90,AU:AY)),IF(C27&gt;2,LOOKUP(E90,BE:BI),IF(C27=2,LOOKUP(E90,AU:AY),LOOKUP(E90,AK:AO))))</f>
        <v>Colossians 1:15-23,</v>
      </c>
      <c r="J90" s="277" t="str">
        <f>IF(ISBLANK(BG7),IF(MOD(A7,2),LOOKUP(E90,AK7:AP182),LOOKUP(E90,AU:AZ)),IF(C27&gt;2,LOOKUP(E90,BE:BJ),IF(C27=2,LOOKUP(E90,AU:AZ),LOOKUP(E90,AK:AP))))</f>
        <v>Colossians 1:24-2:7,</v>
      </c>
      <c r="K90" s="111" t="str">
        <f>IF(ISBLANK(BG7),IF(MOD(A7,2),LOOKUP(E90,AK7:AQ182),LOOKUP(E90,AU:BA)),IF(C27&gt;2,LOOKUP(E90,BE:BK),IF(C27=2,LOOKUP(E90,AU:BA),LOOKUP(E10,AK:AQ))))</f>
        <v>Colossians 2:8-23,</v>
      </c>
      <c r="L90" s="111" t="str">
        <f>IF(ISBLANK(BG7),IF(MOD(A7,2),LOOKUP(E90,AK7:AR182),LOOKUP(E90,AU:BB)),IF(C27&gt;2,LOOKUP(E90,BE:BL),IF(C27=2,LOOKUP(E90,AU:BB),LOOKUP(E90,AK:AR))))</f>
        <v>Colossians 3:1-11,</v>
      </c>
      <c r="M90" s="111" t="str">
        <f>IF(ISBLANK(BG7),IF(MOD(A7,2),LOOKUP(E90,AK7:AS182),LOOKUP(E90,AU:BC)),IF(C27&gt;2,LOOKUP(E90,BE:BM),IF(C27=2,LOOKUP(E90,AU:BC),LOOKUP(E90,AK:AS))))</f>
        <v>Colossians 3:12-17,</v>
      </c>
      <c r="N90" s="251"/>
      <c r="O90" s="78"/>
      <c r="Z90" s="12"/>
      <c r="AI90" s="59">
        <f>IF(AND(AI41&gt;=AI56,B7="Leap Year"),AI41,AI41+1)</f>
        <v>41319</v>
      </c>
      <c r="AK90" s="2">
        <v>83</v>
      </c>
      <c r="AL90" s="13" t="s">
        <v>1714</v>
      </c>
      <c r="AM90" s="89" t="s">
        <v>1715</v>
      </c>
      <c r="AN90" s="89" t="s">
        <v>1716</v>
      </c>
      <c r="AO90" s="88" t="s">
        <v>1717</v>
      </c>
      <c r="AP90" s="89" t="s">
        <v>1718</v>
      </c>
      <c r="AQ90" s="88" t="s">
        <v>1719</v>
      </c>
      <c r="AR90" s="89" t="s">
        <v>1720</v>
      </c>
      <c r="AS90" s="242" t="s">
        <v>1721</v>
      </c>
      <c r="AU90" s="2">
        <v>83</v>
      </c>
      <c r="AV90" s="13" t="s">
        <v>1714</v>
      </c>
      <c r="AW90" s="67" t="s">
        <v>1722</v>
      </c>
      <c r="AX90" s="66" t="s">
        <v>1723</v>
      </c>
      <c r="AY90" s="67" t="s">
        <v>1724</v>
      </c>
      <c r="AZ90" s="66" t="s">
        <v>1725</v>
      </c>
      <c r="BA90" s="67" t="s">
        <v>1726</v>
      </c>
      <c r="BB90" s="66" t="s">
        <v>1727</v>
      </c>
      <c r="BC90" s="67" t="s">
        <v>1728</v>
      </c>
      <c r="BE90" s="2">
        <v>83</v>
      </c>
      <c r="BF90" s="13" t="s">
        <v>1714</v>
      </c>
      <c r="BG90" s="68" t="s">
        <v>1729</v>
      </c>
      <c r="BH90" s="69" t="s">
        <v>1730</v>
      </c>
      <c r="BI90" s="68" t="s">
        <v>1731</v>
      </c>
      <c r="BJ90" s="69" t="s">
        <v>1732</v>
      </c>
      <c r="BK90" s="69" t="s">
        <v>1733</v>
      </c>
      <c r="BL90" s="69" t="s">
        <v>1734</v>
      </c>
      <c r="BM90" s="69" t="s">
        <v>1735</v>
      </c>
    </row>
    <row r="91" spans="2:65" ht="12.75">
      <c r="B91" s="4"/>
      <c r="C91" s="4"/>
      <c r="D91" s="138"/>
      <c r="E91" s="73">
        <v>82</v>
      </c>
      <c r="F91" s="258"/>
      <c r="G91" s="199" t="str">
        <f>IF(ISBLANK(BG7),IF(MOD(A7,2),LOOKUP(E91,AK7:AM182),LOOKUP(E91,AU:AW)),IF(C27&gt;2,LOOKUP(E88,BE:BG),IF(C27=2,LOOKUP(E91,AU:AW),LOOKUP(E91,AK:AM))))</f>
        <v>Matthew 7:15-29</v>
      </c>
      <c r="H91" s="260" t="str">
        <f>IF(ISBLANK(BG7),IF(MOD(A7,2),LOOKUP(E91,AK7:AN182),LOOKUP(E91,AU:AX)),IF(C27&gt;2,LOOKUP(E91,BE:BH),IF(C27=2,LOOKUP(E91,AU:AX),LOOKUP(E91,AK:AN))))</f>
        <v>Luke 6:1-11</v>
      </c>
      <c r="I91" s="260" t="str">
        <f>IF(ISBLANK(BG7),IF(MOD(A7,2),LOOKUP(E91,AK7:AO182),LOOKUP(E91,AU:AY)),IF(C27&gt;2,LOOKUP(E91,BE:BI),IF(C27=2,LOOKUP(E91,AU:AY),LOOKUP(E91,AK:AO))))</f>
        <v>Luke 6:12--26</v>
      </c>
      <c r="J91" s="278" t="str">
        <f>IF(ISBLANK(BG7),IF(MOD(A7,2),LOOKUP(E91,AK7:AP182),LOOKUP(E91,AU:AZ)),IF(C27&gt;2,LOOKUP(E91,BE:BJ),IF(C27=2,LOOKUP(E91,AU:AZ),LOOKUP(E91,AK:AP))))</f>
        <v>Luke 6:27-38</v>
      </c>
      <c r="K91" s="260" t="str">
        <f>IF(ISBLANK(BG7),IF(MOD(A7,2),LOOKUP(E91,AK7:AQ182),LOOKUP(E91,AU:BA)),IF(C27&gt;2,LOOKUP(E91,BE:BK),IF(C27=2,LOOKUP(E91,AU:BA),LOOKUP(E91,AK:AQ))))</f>
        <v>Luke 6:39-49</v>
      </c>
      <c r="L91" s="260" t="str">
        <f>IF(ISBLANK(BG7),IF(MOD(A7,2),LOOKUP(E91,AK7:AR182),LOOKUP(E91,AU:BB)),IF(C27&gt;2,LOOKUP(E91,BE:BL),IF(C27=2,LOOKUP(E91,AU:BB),LOOKUP(E91,AK:AR))))</f>
        <v>Luke 7:1-17</v>
      </c>
      <c r="M91" s="260" t="str">
        <f>IF(ISBLANK(BG7),IF(MOD(A7,2),LOOKUP(E91,AK7:AS182),LOOKUP(E91,AU:BC)),IF(C27&gt;2,LOOKUP(E91,BE:BM),IF(C27=2,LOOKUP(E91,AU:BC),LOOKUP(E91,AK:AS))))</f>
        <v>Luke 7:18 (29-30) 31-35</v>
      </c>
      <c r="N91" s="251"/>
      <c r="O91" s="78"/>
      <c r="Z91" s="12"/>
      <c r="AK91" s="2">
        <v>84</v>
      </c>
      <c r="AL91" s="13" t="s">
        <v>1736</v>
      </c>
      <c r="AM91" s="64" t="s">
        <v>1737</v>
      </c>
      <c r="AN91" s="64" t="s">
        <v>1738</v>
      </c>
      <c r="AO91" s="63" t="s">
        <v>1378</v>
      </c>
      <c r="AP91" s="64" t="s">
        <v>837</v>
      </c>
      <c r="AQ91" s="63" t="s">
        <v>1739</v>
      </c>
      <c r="AR91" s="64" t="s">
        <v>1740</v>
      </c>
      <c r="AS91" s="144" t="s">
        <v>1741</v>
      </c>
      <c r="AU91" s="2">
        <v>84</v>
      </c>
      <c r="AV91" s="13" t="s">
        <v>1736</v>
      </c>
      <c r="AW91" s="67" t="s">
        <v>1094</v>
      </c>
      <c r="AX91" s="66" t="s">
        <v>1742</v>
      </c>
      <c r="AY91" s="67" t="s">
        <v>1743</v>
      </c>
      <c r="AZ91" s="66" t="s">
        <v>138</v>
      </c>
      <c r="BA91" s="67" t="s">
        <v>139</v>
      </c>
      <c r="BB91" s="66" t="s">
        <v>1744</v>
      </c>
      <c r="BC91" s="67" t="s">
        <v>1745</v>
      </c>
      <c r="BE91" s="2">
        <v>84</v>
      </c>
      <c r="BF91" s="13" t="s">
        <v>1736</v>
      </c>
      <c r="BG91" s="68" t="s">
        <v>1746</v>
      </c>
      <c r="BH91" s="69" t="s">
        <v>1747</v>
      </c>
      <c r="BI91" s="68" t="s">
        <v>1748</v>
      </c>
      <c r="BJ91" s="69" t="s">
        <v>1749</v>
      </c>
      <c r="BK91" s="69" t="s">
        <v>1750</v>
      </c>
      <c r="BL91" s="69" t="s">
        <v>1751</v>
      </c>
      <c r="BM91" s="69" t="s">
        <v>1752</v>
      </c>
    </row>
    <row r="92" spans="2:65" ht="12.75">
      <c r="B92" s="4"/>
      <c r="C92" s="4"/>
      <c r="D92" s="254">
        <f>B13+28</f>
        <v>41392</v>
      </c>
      <c r="E92" s="261">
        <v>83</v>
      </c>
      <c r="F92" s="262" t="s">
        <v>1753</v>
      </c>
      <c r="G92" s="107" t="str">
        <f>IF(ISBLANK(BG7),IF(MOD(A7,2),LOOKUP(E92,AK7:AM182),LOOKUP(E92,AU:AW)),IF(C27&gt;2,LOOKUP(E92,BE:BG),IF(C27=2,LOOKUP(E92,AU:AW),LOOKUP(E92,AK:AM))))</f>
        <v>Isaiah 32:1-8,</v>
      </c>
      <c r="H92" s="264" t="str">
        <f>IF(ISBLANK(BG7),IF(MOD(A7,2),LOOKUP(E92,AK7:AN182),LOOKUP(E92,AU:AX)),IF(C27&gt;2,LOOKUP(E92,BE:BH),IF(C27=2,LOOKUP(E92,AU:AX),LOOKUP(E92,AK:AN))))</f>
        <v>Jeremiah 32:1-15,</v>
      </c>
      <c r="I92" s="264" t="str">
        <f>IF(ISBLANK(BG7),IF(MOD(A7,2),LOOKUP(E92,AK7:AO182),LOOKUP(E92,AU:AY)),IF(C27&gt;2,LOOKUP(E92,BE:BI),IF(C27=2,LOOKUP(E92,AU:AY),LOOKUP(E92,AK:AO))))</f>
        <v>Jeremiah32:16-25,</v>
      </c>
      <c r="J92" s="264" t="str">
        <f>IF(ISBLANK(BG7),IF(MOD(A7,2),LOOKUP(E92,AK7:AP182),LOOKUP(E92,AU:AZ)),IF(C27&gt;2,LOOKUP(E92,BE:BJ),IF(C27=2,LOOKUP(E92,AU:AZ),LOOKUP(E92,AK:AP))))</f>
        <v>Jeremiah 32:36-44,</v>
      </c>
      <c r="K92" s="264" t="str">
        <f>IF(ISBLANK(BG7),IF(MOD(A7,2),LOOKUP(E92,AK7:AQ182),LOOKUP(E92,AU:BA)),IF(C27&gt;2,LOOKUP(E92,BE:BK),IF(C27=2,LOOKUP(E92,AU:BA),LOOKUP(E92,AK:AQ))))</f>
        <v>Jeremiah 33:1-13,</v>
      </c>
      <c r="L92" s="264" t="str">
        <f>IF(ISBLANK(BG7),IF(MOD(A7,2),LOOKUP(E92,AK7:AR182),LOOKUP(E92,AU:BB)),IF(C27&gt;2,LOOKUP(E92,BE:BL),IF(C27=2,LOOKUP(E92,AU:BB),LOOKUP(E92,AK:AR))))</f>
        <v>Deuteronomy 31:30-32:14,</v>
      </c>
      <c r="M92" s="264" t="str">
        <f>IF(ISBLANK(BG7),IF(MOD(A7,2),LOOKUP(E92,AK7:AS182),LOOKUP(E92,AU:BC)),IF(C27&gt;2,LOOKUP(E92,BE:BM),IF(C27=2,LOOKUP(E92,AU:BC),LOOKUP(E92,AK:AS))))</f>
        <v>Deuteronomy 32:34-41 (42) 43,</v>
      </c>
      <c r="N92" s="265" t="s">
        <v>1753</v>
      </c>
      <c r="O92" s="56">
        <f>D92</f>
        <v>41392</v>
      </c>
      <c r="Z92" s="12"/>
      <c r="AK92" s="2">
        <v>85</v>
      </c>
      <c r="AL92" s="13" t="s">
        <v>1754</v>
      </c>
      <c r="AM92" s="102" t="s">
        <v>1755</v>
      </c>
      <c r="AN92" s="102" t="s">
        <v>1756</v>
      </c>
      <c r="AO92" s="101" t="s">
        <v>1757</v>
      </c>
      <c r="AP92" s="102" t="s">
        <v>1758</v>
      </c>
      <c r="AQ92" s="101" t="s">
        <v>1759</v>
      </c>
      <c r="AR92" s="102" t="s">
        <v>1760</v>
      </c>
      <c r="AS92" s="249" t="s">
        <v>1761</v>
      </c>
      <c r="AU92" s="2">
        <v>85</v>
      </c>
      <c r="AV92" s="13" t="s">
        <v>1754</v>
      </c>
      <c r="AW92" s="67" t="s">
        <v>1762</v>
      </c>
      <c r="AX92" s="66" t="s">
        <v>1763</v>
      </c>
      <c r="AY92" s="67" t="s">
        <v>1042</v>
      </c>
      <c r="AZ92" s="66" t="s">
        <v>1764</v>
      </c>
      <c r="BA92" s="67" t="s">
        <v>1765</v>
      </c>
      <c r="BB92" s="66" t="s">
        <v>1045</v>
      </c>
      <c r="BC92" s="67" t="s">
        <v>1046</v>
      </c>
      <c r="BE92" s="2">
        <v>85</v>
      </c>
      <c r="BF92" s="13" t="s">
        <v>1754</v>
      </c>
      <c r="BG92" s="68" t="s">
        <v>1766</v>
      </c>
      <c r="BH92" s="69" t="s">
        <v>1767</v>
      </c>
      <c r="BI92" s="68" t="s">
        <v>1768</v>
      </c>
      <c r="BJ92" s="69" t="s">
        <v>1769</v>
      </c>
      <c r="BK92" s="69" t="s">
        <v>1770</v>
      </c>
      <c r="BL92" s="69" t="s">
        <v>1771</v>
      </c>
      <c r="BM92" s="69" t="s">
        <v>1772</v>
      </c>
    </row>
    <row r="93" spans="2:65" ht="12.75">
      <c r="B93" s="4"/>
      <c r="C93" s="4"/>
      <c r="D93" s="138"/>
      <c r="E93" s="73">
        <v>84</v>
      </c>
      <c r="F93" s="250"/>
      <c r="G93" s="255" t="str">
        <f>IF(ISBLANK(BG7),IF(MOD(A7,2),LOOKUP(E93,AK7:AM182),LOOKUP(E93,AU:AW)),IF(C27&gt;2,LOOKUP(E93,BE:BG),IF(C27=2,LOOKUP(E93,AU:AW),LOOKUP(E93,AK:AM))))</f>
        <v>2 Thessalonians 2:13-17,</v>
      </c>
      <c r="H93" s="111" t="str">
        <f>IF(ISBLANK(BG7),IF(MOD(A7,2),LOOKUP(E93,AK7:AN182),LOOKUP(E93,AU:AX)),IF(C27&gt;2,LOOKUP(E93,BE:BH),IF(C27=2,LOOKUP(E93,AU:AX),LOOKUP(E93,AK:AN))))</f>
        <v>Colossians 3:18-4:18,</v>
      </c>
      <c r="I93" s="111" t="str">
        <f>IF(ISBLANK(BG7),IF(MOD(A7,2),LOOKUP(E93,AK7:AO182),LOOKUP(E93,AU:AY)),IF(C27&gt;2,LOOKUP(E93,BE:BI),IF(C27=2,LOOKUP(E93,AU:AY),LOOKUP(E93,AK:AO))))</f>
        <v>Romans 12:1-21,</v>
      </c>
      <c r="J93" s="111" t="str">
        <f>IF(ISBLANK(BG7),IF(MOD(A7,2),LOOKUP(E93,AK7:AP182),LOOKUP(E93,AU:AZ)),IF(C27&gt;2,LOOKUP(E93,BE:BJ),IF(C27=2,LOOKUP(E93,AU:AZ),LOOKUP(E93,AK:AP))))</f>
        <v>Romans 13:1-14,</v>
      </c>
      <c r="K93" s="111" t="str">
        <f>IF(ISBLANK(BG7),IF(MOD(A7,2),LOOKUP(E93,AK7:AQ182),LOOKUP(E93,AU:BA)),IF(C27&gt;2,LOOKUP(E93,BE:BK),IF(C27=2,LOOKUP(E93,AU:BA),LOOKUP(E93,AK:AQ))))</f>
        <v>Romans 14:1-12,</v>
      </c>
      <c r="L93" s="111" t="str">
        <f>IF(ISBLANK(BG7),IF(MOD(A7,2),LOOKUP(E93,AK7:AR182),LOOKUP(E93,AU:BB)),IF(C27&gt;2,LOOKUP(E93,BE:BL),IF(C27=2,LOOKUP(E93,AU:BB),LOOKUP(E93,AK:AR))))</f>
        <v>Romans 14:13-23,</v>
      </c>
      <c r="M93" s="111" t="str">
        <f>IF(ISBLANK(BG7),IF(MOD(A7,2),LOOKUP(E93,AK7:AS182),LOOKUP(E93,AU:BC)),IF(C27&gt;2,LOOKUP(E93,BE:BM),IF(C27=2,LOOKUP(E93,AU:BC),LOOKUP(E93,AK:AS))))</f>
        <v>Romans 15:1-13,</v>
      </c>
      <c r="N93" s="251"/>
      <c r="O93" s="78"/>
      <c r="Z93" s="12"/>
      <c r="AK93" s="2">
        <v>86</v>
      </c>
      <c r="AL93" s="245" t="s">
        <v>1773</v>
      </c>
      <c r="AM93" s="64" t="s">
        <v>1774</v>
      </c>
      <c r="AN93" s="64" t="s">
        <v>1775</v>
      </c>
      <c r="AO93" s="63" t="s">
        <v>1776</v>
      </c>
      <c r="AP93" s="64" t="s">
        <v>1777</v>
      </c>
      <c r="AQ93" s="63" t="s">
        <v>1778</v>
      </c>
      <c r="AR93" s="64" t="s">
        <v>1779</v>
      </c>
      <c r="AS93" s="144" t="s">
        <v>1780</v>
      </c>
      <c r="AU93" s="2">
        <v>86</v>
      </c>
      <c r="AV93" s="245" t="s">
        <v>1773</v>
      </c>
      <c r="AW93" s="91" t="s">
        <v>1781</v>
      </c>
      <c r="AX93" s="90" t="s">
        <v>1782</v>
      </c>
      <c r="AY93" s="91" t="s">
        <v>1783</v>
      </c>
      <c r="AZ93" s="90" t="s">
        <v>1784</v>
      </c>
      <c r="BA93" s="91" t="s">
        <v>1785</v>
      </c>
      <c r="BB93" s="90" t="s">
        <v>1786</v>
      </c>
      <c r="BC93" s="91" t="s">
        <v>1787</v>
      </c>
      <c r="BE93" s="2">
        <v>86</v>
      </c>
      <c r="BF93" s="245" t="s">
        <v>1773</v>
      </c>
      <c r="BG93" s="68" t="s">
        <v>1788</v>
      </c>
      <c r="BH93" s="69" t="s">
        <v>1789</v>
      </c>
      <c r="BI93" s="68" t="s">
        <v>1790</v>
      </c>
      <c r="BJ93" s="69" t="s">
        <v>1791</v>
      </c>
      <c r="BK93" s="69" t="s">
        <v>1792</v>
      </c>
      <c r="BL93" s="69" t="s">
        <v>1793</v>
      </c>
      <c r="BM93" s="69" t="s">
        <v>1794</v>
      </c>
    </row>
    <row r="94" spans="2:65" ht="12.75">
      <c r="B94" s="4"/>
      <c r="C94" s="4"/>
      <c r="D94" s="256"/>
      <c r="E94" s="266">
        <v>85</v>
      </c>
      <c r="F94" s="258"/>
      <c r="G94" s="199" t="str">
        <f>IF(ISBLANK(BG7),IF(MOD(A7,2),LOOKUP(E94,AK7:AM182),LOOKUP(E94,AU:AW)),IF(C27&gt;2,LOOKUP(E94,BE:BG),IF(C27=2,LOOKUP(E94,AU:AW),LOOKUP(E94,AK:AM))))</f>
        <v>Matthew 7:7-14</v>
      </c>
      <c r="H94" s="260" t="str">
        <f>IF(ISBLANK(BG7),IF(MOD(A7,2),LOOKUP(E94,AK7:AN182),LOOKUP(E94,AU:AX)),IF(C27&gt;2,LOOKUP(E94,BE:BH),IF(C27=2,LOOKUP(E94,AU:AX),LOOKUP(E94,AK:AN))))</f>
        <v>Luke 7:36-50</v>
      </c>
      <c r="I94" s="260" t="str">
        <f>IF(ISBLANK(BG7),IF(MOD(A7,2),LOOKUP(E94,AK7:AO182),LOOKUP(E94,AU:AY)),IF(C27&gt;2,LOOKUP(E94,BE:BI),IF(C27=2,LOOKUP(E94,AU:AY),LOOKUP(E94,AK:AO))))</f>
        <v>Luke 8:1-15</v>
      </c>
      <c r="J94" s="260" t="str">
        <f>IF(ISBLANK(BG7),IF(MOD(A7,2),LOOKUP(E94,AK7:AP182),LOOKUP(E94,AU:AZ)),IF(C27&gt;2,LOOKUP(E94,BE:BJ),IF(C27=2,LOOKUP(E94,AU:AZ),LOOKUP(E94,AK:AP))))</f>
        <v>Luke 8:16-25</v>
      </c>
      <c r="K94" s="260" t="str">
        <f>IF(ISBLANK(BG7),IF(MOD(A7,2),LOOKUP(E94,AK7:AQ182),LOOKUP(E94,AU:BA)),IF(C27&gt;2,LOOKUP(E94,BE:BK),IF(C27=2,LOOKUP(E94,AU:BA),LOOKUP(E94,AK:AQ))))</f>
        <v>Luke 8:26-39</v>
      </c>
      <c r="L94" s="260" t="str">
        <f>IF(ISBLANK(BG7),IF(MOD(A7,2),LOOKUP(E94,AK7:AR182),LOOKUP(E94,AU:BB)),IF(C27&gt;2,LOOKUP(E94,BE:BL),IF(C27=2,LOOKUP(E94,AU:BB),LOOKUP(E94,AK:AR))))</f>
        <v>Luke 8:40-56</v>
      </c>
      <c r="M94" s="260" t="str">
        <f>IF(ISBLANK(BG7),IF(MOD(A7,2),LOOKUP(E94,AK7:AS182),LOOKUP(E94,AU:BC)),IF(C27&gt;2,LOOKUP(E94,BE:BM),IF(C27=2,LOOKUP(E94,AU:BC),LOOKUP(E94,AK:AS))))</f>
        <v>Luke 9:1-17</v>
      </c>
      <c r="N94" s="267"/>
      <c r="O94" s="99"/>
      <c r="Z94" s="12"/>
      <c r="AK94" s="2">
        <v>87</v>
      </c>
      <c r="AL94" s="13" t="s">
        <v>1795</v>
      </c>
      <c r="AM94" s="64" t="s">
        <v>1796</v>
      </c>
      <c r="AN94" s="64" t="s">
        <v>1797</v>
      </c>
      <c r="AO94" s="63" t="s">
        <v>1798</v>
      </c>
      <c r="AP94" s="64" t="s">
        <v>1799</v>
      </c>
      <c r="AQ94" s="63" t="s">
        <v>1800</v>
      </c>
      <c r="AR94" s="64" t="s">
        <v>1801</v>
      </c>
      <c r="AS94" s="144" t="s">
        <v>638</v>
      </c>
      <c r="AU94" s="2">
        <v>87</v>
      </c>
      <c r="AV94" s="13" t="s">
        <v>1795</v>
      </c>
      <c r="AW94" s="67" t="s">
        <v>1802</v>
      </c>
      <c r="AX94" s="66" t="s">
        <v>1803</v>
      </c>
      <c r="AY94" s="67" t="s">
        <v>1804</v>
      </c>
      <c r="AZ94" s="66" t="s">
        <v>1805</v>
      </c>
      <c r="BA94" s="67" t="s">
        <v>1800</v>
      </c>
      <c r="BB94" s="66" t="s">
        <v>562</v>
      </c>
      <c r="BC94" s="67" t="s">
        <v>563</v>
      </c>
      <c r="BE94" s="2">
        <v>87</v>
      </c>
      <c r="BF94" s="13" t="s">
        <v>1795</v>
      </c>
      <c r="BG94" s="68" t="s">
        <v>1806</v>
      </c>
      <c r="BH94" s="69" t="s">
        <v>1807</v>
      </c>
      <c r="BI94" s="68" t="s">
        <v>1808</v>
      </c>
      <c r="BJ94" s="69" t="s">
        <v>1809</v>
      </c>
      <c r="BK94" s="69" t="s">
        <v>1810</v>
      </c>
      <c r="BL94" s="69" t="s">
        <v>1811</v>
      </c>
      <c r="BM94" s="69" t="s">
        <v>1812</v>
      </c>
    </row>
    <row r="95" spans="2:65" ht="12.75">
      <c r="B95" s="4"/>
      <c r="C95" s="4"/>
      <c r="D95" s="138">
        <f>B13+35</f>
        <v>41399</v>
      </c>
      <c r="E95" s="73">
        <v>85.5</v>
      </c>
      <c r="F95" s="262" t="s">
        <v>1813</v>
      </c>
      <c r="G95" s="279"/>
      <c r="H95" s="264"/>
      <c r="I95" s="111"/>
      <c r="J95" s="111"/>
      <c r="K95" s="272" t="s">
        <v>33</v>
      </c>
      <c r="L95" s="111"/>
      <c r="M95" s="111"/>
      <c r="N95" s="251" t="s">
        <v>1813</v>
      </c>
      <c r="O95" s="109">
        <f>D95</f>
        <v>41399</v>
      </c>
      <c r="Z95" s="12"/>
      <c r="AK95" s="2">
        <v>88</v>
      </c>
      <c r="AL95" s="248" t="s">
        <v>1814</v>
      </c>
      <c r="AM95" s="64" t="s">
        <v>1815</v>
      </c>
      <c r="AN95" s="64" t="s">
        <v>1115</v>
      </c>
      <c r="AO95" s="63" t="s">
        <v>1816</v>
      </c>
      <c r="AP95" s="64" t="s">
        <v>1817</v>
      </c>
      <c r="AQ95" s="63" t="s">
        <v>1533</v>
      </c>
      <c r="AR95" s="64" t="s">
        <v>1818</v>
      </c>
      <c r="AS95" s="144" t="s">
        <v>1819</v>
      </c>
      <c r="AU95" s="2">
        <v>88</v>
      </c>
      <c r="AV95" s="248" t="s">
        <v>1814</v>
      </c>
      <c r="AW95" s="104" t="s">
        <v>1820</v>
      </c>
      <c r="AX95" s="103" t="s">
        <v>1821</v>
      </c>
      <c r="AY95" s="104" t="s">
        <v>1822</v>
      </c>
      <c r="AZ95" s="103" t="s">
        <v>1823</v>
      </c>
      <c r="BA95" s="104" t="s">
        <v>1533</v>
      </c>
      <c r="BB95" s="103" t="s">
        <v>1824</v>
      </c>
      <c r="BC95" s="104" t="s">
        <v>1825</v>
      </c>
      <c r="BE95" s="2">
        <v>88</v>
      </c>
      <c r="BF95" s="248" t="s">
        <v>1814</v>
      </c>
      <c r="BG95" s="68" t="s">
        <v>1826</v>
      </c>
      <c r="BH95" s="69" t="s">
        <v>1827</v>
      </c>
      <c r="BI95" s="68" t="s">
        <v>1828</v>
      </c>
      <c r="BJ95" s="69" t="s">
        <v>1829</v>
      </c>
      <c r="BK95" s="69" t="s">
        <v>1830</v>
      </c>
      <c r="BL95" s="69" t="s">
        <v>1831</v>
      </c>
      <c r="BM95" s="69" t="s">
        <v>1832</v>
      </c>
    </row>
    <row r="96" spans="2:65" ht="12.75">
      <c r="B96" s="4"/>
      <c r="C96" s="4"/>
      <c r="D96" s="72"/>
      <c r="E96" s="73">
        <v>86</v>
      </c>
      <c r="F96" s="273"/>
      <c r="G96" s="111" t="str">
        <f>IF(ISBLANK(BG7),IF(MOD(A7,2),LOOKUP(E96,AK7:AM182),LOOKUP(E96,AU:AW)),IF(C27&gt;2,LOOKUP(E96,BE:BG),IF(C27=2,LOOKUP(E96,AU:AW),LOOKUP(E96,AK:AM))))</f>
        <v>Deuteronomy 15:1-11,</v>
      </c>
      <c r="H96" s="111" t="str">
        <f>IF(ISBLANK(BG7),IF(MOD(A7,2),LOOKUP(E96,AK7:AN182),LOOKUP(E96,AU:AX)),IF(C27&gt;2,LOOKUP(E96,BE:BH),IF(C27=2,LOOKUP(E96,AU:AX),LOOKUP(E96,AK:AN))))</f>
        <v>Deuteronomy 8:1-10 or 18:9-14,</v>
      </c>
      <c r="I96" s="111" t="str">
        <f>IF(ISBLANK(BG7),IF(MOD(A7,2),LOOKUP(E96,AK7:AO182),LOOKUP(E96,AU:AY)),IF(C27&gt;2,LOOKUP(E96,BE:BI),IF(C27=2,LOOKUP(E96,AU:AY),LOOKUP(E96,AK:AO))))</f>
        <v>Deuteronomy 8:11-20 or 18:15-22,</v>
      </c>
      <c r="J96" s="111" t="str">
        <f>IF(ISBLANK(BG7),IF(MOD(A7,2),LOOKUP(E96,AK7:AP182),LOOKUP(E96,AU:AZ)),IF(C27&gt;2,LOOKUP(E96,BE:BJ),IF(C27=2,LOOKUP(E96,AU:AZ),LOOKUP(E96,AK:AP))))</f>
        <v>Deuteronomy 19:1-7,</v>
      </c>
      <c r="K96" s="111" t="str">
        <f>IF(ISBLANK(BG7),IF(MOD(A7,2),LOOKUP(E96,AK7:AQ182),LOOKUP(E96,AU:BA)),IF(C27&gt;2,LOOKUP(E96,BE:BK),IF(C27=2,LOOKUP(E96,AU:BA),LOOKUP(E96,AK:AQ))))</f>
        <v>Ezekiel 1:1-14, 24-28b,</v>
      </c>
      <c r="L96" s="111" t="str">
        <f>IF(ISBLANK(BG7),IF(MOD(A7,2),LOOKUP(E96,AK7:AR182),LOOKUP(E96,AU:BB)),IF(C27&gt;2,LOOKUP(E96,BE:BL),IF(C27=2,LOOKUP(E96,AU:BB),LOOKUP(E96,AK:AR))))</f>
        <v>Ezekiel 1:28-3:3,</v>
      </c>
      <c r="M96" s="111" t="str">
        <f>IF(ISBLANK(BG7),IF(MOD(A7,2),LOOKUP(E96,AK7:AS182),LOOKUP(E96,AU:BC)),IF(C27&gt;2,LOOKUP(E96,BE:BM),IF(C27=2,LOOKUP(E96,AU:BC),LOOKUP(E96,AK:AS))))</f>
        <v>Ezekiel 3:4-17,</v>
      </c>
      <c r="N96" s="274"/>
      <c r="O96" s="78"/>
      <c r="Z96" s="12"/>
      <c r="AK96" s="2">
        <v>89</v>
      </c>
      <c r="AL96" s="13" t="s">
        <v>1833</v>
      </c>
      <c r="AM96" s="89" t="s">
        <v>1834</v>
      </c>
      <c r="AN96" s="89" t="s">
        <v>1835</v>
      </c>
      <c r="AO96" s="88" t="s">
        <v>1836</v>
      </c>
      <c r="AP96" s="89" t="s">
        <v>1837</v>
      </c>
      <c r="AQ96" s="88" t="s">
        <v>1838</v>
      </c>
      <c r="AR96" s="89" t="s">
        <v>1839</v>
      </c>
      <c r="AS96" s="242" t="s">
        <v>1840</v>
      </c>
      <c r="AU96" s="2">
        <v>89</v>
      </c>
      <c r="AV96" s="13" t="s">
        <v>1833</v>
      </c>
      <c r="AW96" s="67" t="s">
        <v>1841</v>
      </c>
      <c r="AX96" s="66" t="s">
        <v>409</v>
      </c>
      <c r="AY96" s="67" t="s">
        <v>1842</v>
      </c>
      <c r="AZ96" s="66" t="s">
        <v>53</v>
      </c>
      <c r="BA96" s="67" t="s">
        <v>195</v>
      </c>
      <c r="BB96" s="66" t="s">
        <v>1355</v>
      </c>
      <c r="BC96" s="67" t="s">
        <v>1843</v>
      </c>
      <c r="BE96" s="2">
        <v>89</v>
      </c>
      <c r="BF96" s="13" t="s">
        <v>1833</v>
      </c>
      <c r="BG96" s="68" t="s">
        <v>1844</v>
      </c>
      <c r="BH96" s="69" t="s">
        <v>1845</v>
      </c>
      <c r="BI96" s="68" t="s">
        <v>1846</v>
      </c>
      <c r="BJ96" s="69" t="s">
        <v>1847</v>
      </c>
      <c r="BK96" s="69" t="s">
        <v>1848</v>
      </c>
      <c r="BL96" s="69" t="s">
        <v>1849</v>
      </c>
      <c r="BM96" s="69" t="s">
        <v>1850</v>
      </c>
    </row>
    <row r="97" spans="2:65" ht="12.75">
      <c r="B97" s="4"/>
      <c r="C97" s="4"/>
      <c r="D97" s="138"/>
      <c r="E97" s="73">
        <v>87</v>
      </c>
      <c r="F97" s="250"/>
      <c r="G97" s="271" t="str">
        <f>IF(ISBLANK(BG7),IF(MOD(A7,2),LOOKUP(E97,AK7:AM182),LOOKUP(E97,AU:AW)),IF(C27&gt;2,LOOKUP(E97,BE:BG),IF(C27=2,LOOKUP(E97,AU:AW),LOOKUP(E97,AK:AM))))</f>
        <v>1 Timothy 3:14-4:5,</v>
      </c>
      <c r="H97" s="111" t="str">
        <f>IF(ISBLANK(BG7),IF(MOD(A7,2),LOOKUP(E97,AK7:AN182),LOOKUP(E97,AU:AX)),IF(C27&gt;2,LOOKUP(E97,BE:BH),IF(C27=2,LOOKUP(E97,AU:AX),LOOKUP(E97,AK:AN))))</f>
        <v>James 1:1-15,</v>
      </c>
      <c r="I97" s="111" t="str">
        <f>IF(ISBLANK(BG7),IF(MOD(A7,2),LOOKUP(E97,AK7:AO182),LOOKUP(E97,AU:AY)),IF(C27&gt;2,LOOKUP(E97,BE:BI),IF(C27=2,LOOKUP(E97,AU:AY),LOOKUP(E97,AK:AO))))</f>
        <v>James 1:16-27,</v>
      </c>
      <c r="J97" s="111" t="str">
        <f>IF(ISBLANK(BG7),IF(MOD(A7,2),LOOKUP(E97,AK7:AP182),LOOKUP(E97,AU:AZ)),IF(C27&gt;2,LOOKUP(E97,BE:BJ),IF(C27=2,LOOKUP(E97,AU:AZ),LOOKUP(E97,AK:AP))))</f>
        <v>James 5:13-18,</v>
      </c>
      <c r="K97" s="111" t="str">
        <f>IF(ISBLANK(BG7),IF(MOD(A7,2),LOOKUP(E97,AK7:AQ182),LOOKUP(E97,AU:BA)),IF(C27&gt;2,LOOKUP(E97,BE:BK),IF(C27=2,LOOKUP(E97,AU:BA),LOOKUP(E97,AK:AQ))))</f>
        <v>Hebrews 2:5-18,</v>
      </c>
      <c r="L97" s="111" t="str">
        <f>IF(ISBLANK(BG7),IF(MOD(A7,2),LOOKUP(E97,AK7:AR182),LOOKUP(E97,AU:BB)),IF(C27&gt;2,LOOKUP(E97,BE:BL),IF(C27=2,LOOKUP(E97,AU:BB),LOOKUP(E97,AK:AR))))</f>
        <v>Hebrews 4:14-5:6</v>
      </c>
      <c r="M97" s="111" t="str">
        <f>IF(ISBLANK(BG7),IF(MOD(A7,2),LOOKUP(E97,AK7:AS182),LOOKUP(E97,AU:BC)),IF(C27&gt;2,LOOKUP(E97,BE:BM),IF(C27=2,LOOKUP(E97,AU:BC),LOOKUP(E97,AK:AS))))</f>
        <v>Hebrews 5:7-14,</v>
      </c>
      <c r="N97" s="251"/>
      <c r="O97" s="78"/>
      <c r="Z97" s="12"/>
      <c r="AK97" s="2">
        <v>90</v>
      </c>
      <c r="AL97" s="13" t="s">
        <v>1851</v>
      </c>
      <c r="AM97" s="64" t="s">
        <v>562</v>
      </c>
      <c r="AN97" s="64" t="s">
        <v>639</v>
      </c>
      <c r="AO97" s="63" t="s">
        <v>640</v>
      </c>
      <c r="AP97" s="64" t="s">
        <v>641</v>
      </c>
      <c r="AQ97" s="63" t="s">
        <v>642</v>
      </c>
      <c r="AR97" s="64" t="s">
        <v>701</v>
      </c>
      <c r="AS97" s="144" t="s">
        <v>702</v>
      </c>
      <c r="AU97" s="2">
        <v>90</v>
      </c>
      <c r="AV97" s="13" t="s">
        <v>1851</v>
      </c>
      <c r="AW97" s="67" t="s">
        <v>207</v>
      </c>
      <c r="AX97" s="66" t="s">
        <v>564</v>
      </c>
      <c r="AY97" s="67" t="s">
        <v>565</v>
      </c>
      <c r="AZ97" s="66" t="s">
        <v>437</v>
      </c>
      <c r="BA97" s="67" t="s">
        <v>438</v>
      </c>
      <c r="BB97" s="66" t="s">
        <v>1852</v>
      </c>
      <c r="BC97" s="67" t="s">
        <v>1853</v>
      </c>
      <c r="BE97" s="2">
        <v>90</v>
      </c>
      <c r="BF97" s="13" t="s">
        <v>1851</v>
      </c>
      <c r="BG97" s="68" t="s">
        <v>1854</v>
      </c>
      <c r="BH97" s="69" t="s">
        <v>1855</v>
      </c>
      <c r="BI97" s="68" t="s">
        <v>1856</v>
      </c>
      <c r="BJ97" s="69" t="s">
        <v>1857</v>
      </c>
      <c r="BK97" s="69" t="s">
        <v>1858</v>
      </c>
      <c r="BL97" s="69" t="s">
        <v>1859</v>
      </c>
      <c r="BM97" s="69" t="s">
        <v>1860</v>
      </c>
    </row>
    <row r="98" spans="2:65" ht="12.75">
      <c r="B98" s="4"/>
      <c r="C98" s="4"/>
      <c r="D98" s="138"/>
      <c r="E98" s="73">
        <v>88</v>
      </c>
      <c r="F98" s="258"/>
      <c r="G98" s="280" t="str">
        <f>IF(ISBLANK(BG7),IF(MOD(A7,2),LOOKUP(E98,AK7:AM182),LOOKUP(E98,AU:AW)),IF(C27&gt;2,LOOKUP(E98,BE:BG),IF(C27=2,LOOKUP(E98,AU:AW),LOOKUP(E98,AK:AM))))</f>
        <v>Matthew 13:24-34a</v>
      </c>
      <c r="H98" s="260" t="str">
        <f>IF(ISBLANK(BG7),IF(MOD(A7,2),LOOKUP(E98,AK7:AN182),LOOKUP(E98,AU:AX)),IF(C27&gt;2,LOOKUP(E98,BE:BH),IF(C27=2,LOOKUP(E98,AU:AX),LOOKUP(E98,AK:AN))))</f>
        <v>Luke 9:18-27</v>
      </c>
      <c r="I98" s="260" t="str">
        <f>IF(ISBLANK(BG7),IF(MOD(A7,2),LOOKUP(E98,AK7:AO182),LOOKUP(E98,AU:AY)),IF(C27&gt;2,LOOKUP(E98,BE:BI),IF(C27=2,LOOKUP(E98,AU:AY),LOOKUP(E98,AK:AO))))</f>
        <v>Luke 11:1-13</v>
      </c>
      <c r="J98" s="260" t="str">
        <f>IF(ISBLANK(BG7),IF(MOD(A7,2),LOOKUP(E98,AK7:AP182),LOOKUP(E98,AU:AZ)),IF(C27&gt;2,LOOKUP(E98,BE:BJ),IF(C27=2,LOOKUP(E98,AU:AZ),LOOKUP(E98,AK:AP))))</f>
        <v>Luke 12:22-31</v>
      </c>
      <c r="K98" s="260" t="str">
        <f>IF(ISBLANK(BG7),IF(MOD(A7,2),LOOKUP(E98,AK7:AQ182),LOOKUP(E98,AU:BA)),IF(C27&gt;2,LOOKUP(E98,BE:BK),IF(C27=2,LOOKUP(E98,AU:BA),LOOKUP(E98,AK:AQ))))</f>
        <v>Matthew 28:16-20</v>
      </c>
      <c r="L98" s="260" t="str">
        <f>IF(ISBLANK(BG7),IF(MOD(A7,2),LOOKUP(E98,AK7:AR182),LOOKUP(E98,AU:BB)),IF(C27&gt;2,LOOKUP(E98,BE:BL),IF(C27=2,LOOKUP(E98,AU:BB),LOOKUP(E98,AK:AR))))</f>
        <v>Luke 9:28-36</v>
      </c>
      <c r="M98" s="260" t="str">
        <f>IF(ISBLANK(BG7),IF(MOD(A7,2),LOOKUP(E98,AK7:AS182),LOOKUP(E98,AU:BC)),IF(C27&gt;2,LOOKUP(E98,BE:BM),IF(C27=2,LOOKUP(E98,AU:BC),LOOKUP(E98,AK:AS))))</f>
        <v>Luke 9:37-50</v>
      </c>
      <c r="N98" s="251"/>
      <c r="O98" s="78"/>
      <c r="Z98" s="12"/>
      <c r="AK98" s="2">
        <v>91</v>
      </c>
      <c r="AL98" s="13" t="s">
        <v>1861</v>
      </c>
      <c r="AM98" s="102" t="s">
        <v>1862</v>
      </c>
      <c r="AN98" s="102" t="s">
        <v>1863</v>
      </c>
      <c r="AO98" s="101" t="s">
        <v>1864</v>
      </c>
      <c r="AP98" s="102" t="s">
        <v>1865</v>
      </c>
      <c r="AQ98" s="101" t="s">
        <v>1866</v>
      </c>
      <c r="AR98" s="102" t="s">
        <v>1867</v>
      </c>
      <c r="AS98" s="249" t="s">
        <v>1868</v>
      </c>
      <c r="AU98" s="2">
        <v>91</v>
      </c>
      <c r="AV98" s="13" t="s">
        <v>1861</v>
      </c>
      <c r="AW98" s="67" t="s">
        <v>1865</v>
      </c>
      <c r="AX98" s="66" t="s">
        <v>1869</v>
      </c>
      <c r="AY98" s="67" t="s">
        <v>1870</v>
      </c>
      <c r="AZ98" s="66" t="s">
        <v>1871</v>
      </c>
      <c r="BA98" s="67" t="s">
        <v>1872</v>
      </c>
      <c r="BB98" s="66" t="s">
        <v>1873</v>
      </c>
      <c r="BC98" s="67" t="s">
        <v>1874</v>
      </c>
      <c r="BE98" s="2">
        <v>91</v>
      </c>
      <c r="BF98" s="13" t="s">
        <v>1861</v>
      </c>
      <c r="BG98" s="68" t="s">
        <v>1875</v>
      </c>
      <c r="BH98" s="69" t="s">
        <v>1876</v>
      </c>
      <c r="BI98" s="68" t="s">
        <v>1877</v>
      </c>
      <c r="BJ98" s="69" t="s">
        <v>1878</v>
      </c>
      <c r="BK98" s="69" t="s">
        <v>1879</v>
      </c>
      <c r="BL98" s="69" t="s">
        <v>1880</v>
      </c>
      <c r="BM98" s="69" t="s">
        <v>1881</v>
      </c>
    </row>
    <row r="99" spans="2:65" ht="12.75">
      <c r="B99" s="4"/>
      <c r="C99" s="4"/>
      <c r="D99" s="254">
        <f>B19-7</f>
        <v>41406</v>
      </c>
      <c r="E99" s="261">
        <v>89</v>
      </c>
      <c r="F99" s="262" t="s">
        <v>1882</v>
      </c>
      <c r="G99" s="107" t="str">
        <f>IF(ISBLANK(BG7),IF(MOD(A7,2),LOOKUP(E99,AK7:AM182),LOOKUP(E99,AU:AW)),IF(C27&gt;2,LOOKUP(E99,BE:BG),IF(C27=2,LOOKUP(E99,AU:AW),LOOKUP(E99,AK:AM))))</f>
        <v>Ezekiel 3:16-27,</v>
      </c>
      <c r="H99" s="264" t="str">
        <f>IF(ISBLANK(BG7),IF(MOD(A7,2),LOOKUP(E99,AK7:AN182),LOOKUP(E99,AU:AX)),IF(C27&gt;2,LOOKUP(E99,BE:BH),IF(C27=2,LOOKUP(E99,AU:AX),LOOKUP(E99,AK:AN))))</f>
        <v>Ezekiel 4:1-17,</v>
      </c>
      <c r="I99" s="264" t="str">
        <f>IF(ISBLANK(BG7),IF(MOD(A7,2),LOOKUP(E99,AK7:AO182),LOOKUP(E99,AU:AY)),IF(C27&gt;2,LOOKUP(E99,BE:BI),IF(C27=2,LOOKUP(E99,AU:AY),LOOKUP(E99,AK:AO))))</f>
        <v>Ezekiel 7:10-15, 23b-27,</v>
      </c>
      <c r="J99" s="264" t="str">
        <f>IF(ISBLANK(BG7),IF(MOD(A7,2),LOOKUP(E99,AK7:AP182),LOOKUP(E99,AU:AZ)),IF(C27&gt;2,LOOKUP(E99,BE:BJ),IF(C27=2,LOOKUP(E99,AU:AZ),LOOKUP(E99,AK:AP))))</f>
        <v>Ezekiel 11:14-25,</v>
      </c>
      <c r="K99" s="264" t="str">
        <f>IF(ISBLANK(BG7),IF(MOD(A7,2),LOOKUP(E99,AK7:AQ182),LOOKUP(E99,AU:BA)),IF(C27&gt;2,LOOKUP(E99,BE:BK),IF(C27=2,LOOKUP(E99,AU:BA),LOOKUP(E99,AK:AQ))))</f>
        <v>Ezekiel 18:1-4, 19-32,</v>
      </c>
      <c r="L99" s="264" t="str">
        <f>IF(ISBLANK(BG7),IF(MOD(A7,2),LOOKUP(E99,AK7:AR182),LOOKUP(E99,AU:BB)),IF(C27&gt;2,LOOKUP(E99,BE:BL),IF(C27=2,LOOKUP(E99,AU:BB),LOOKUP(E99,AK:AR))))</f>
        <v>Ezekiel 34:17-31,</v>
      </c>
      <c r="M99" s="264" t="str">
        <f>IF(ISBLANK(BG7),IF(MOD(A7,2),LOOKUP(E99,AK7:AS182),LOOKUP(E99,AU:BC)),IF(C27&gt;2,LOOKUP(E99,BE:BM),IF(C27=2,LOOKUP(E99,AU:BC),LOOKUP(E99,AK:AS))))</f>
        <v>Ezekiel 43:1-12, </v>
      </c>
      <c r="N99" s="265" t="s">
        <v>1882</v>
      </c>
      <c r="O99" s="56">
        <f>D99</f>
        <v>41406</v>
      </c>
      <c r="Z99" s="12"/>
      <c r="AK99" s="2">
        <v>92</v>
      </c>
      <c r="AL99" s="245" t="s">
        <v>1883</v>
      </c>
      <c r="AM99" s="64" t="s">
        <v>252</v>
      </c>
      <c r="AN99" s="64" t="s">
        <v>871</v>
      </c>
      <c r="AO99" s="63" t="s">
        <v>872</v>
      </c>
      <c r="AP99" s="64" t="s">
        <v>873</v>
      </c>
      <c r="AQ99" s="63" t="s">
        <v>1884</v>
      </c>
      <c r="AR99" s="64" t="s">
        <v>875</v>
      </c>
      <c r="AS99" s="144" t="s">
        <v>935</v>
      </c>
      <c r="AU99" s="2">
        <v>92</v>
      </c>
      <c r="AV99" s="245" t="s">
        <v>1883</v>
      </c>
      <c r="AW99" s="91" t="s">
        <v>1885</v>
      </c>
      <c r="AX99" s="90" t="s">
        <v>1886</v>
      </c>
      <c r="AY99" s="91" t="s">
        <v>1887</v>
      </c>
      <c r="AZ99" s="90" t="s">
        <v>1888</v>
      </c>
      <c r="BA99" s="91" t="s">
        <v>1889</v>
      </c>
      <c r="BB99" s="90" t="s">
        <v>1084</v>
      </c>
      <c r="BC99" s="91" t="s">
        <v>1890</v>
      </c>
      <c r="BE99" s="2">
        <v>92</v>
      </c>
      <c r="BF99" s="245" t="s">
        <v>1883</v>
      </c>
      <c r="BG99" s="68" t="s">
        <v>1891</v>
      </c>
      <c r="BH99" s="69" t="s">
        <v>1892</v>
      </c>
      <c r="BI99" s="68" t="s">
        <v>1893</v>
      </c>
      <c r="BJ99" s="69" t="s">
        <v>1894</v>
      </c>
      <c r="BK99" s="69" t="s">
        <v>1895</v>
      </c>
      <c r="BL99" s="69" t="s">
        <v>1896</v>
      </c>
      <c r="BM99" s="69" t="s">
        <v>1897</v>
      </c>
    </row>
    <row r="100" spans="2:65" ht="12.75">
      <c r="B100" s="4"/>
      <c r="C100" s="4"/>
      <c r="D100" s="138"/>
      <c r="E100" s="73">
        <v>90</v>
      </c>
      <c r="F100" s="250"/>
      <c r="G100" s="255" t="str">
        <f>IF(ISBLANK(BG7),IF(MOD(A7,2),LOOKUP(E100,AK7:AM182),LOOKUP(E100,AU:AW)),IF(C27&gt;2,LOOKUP(E100,BE:BG),IF(C27=2,LOOKUP(E100,AU:AW),LOOKUP(E100,AK:AM))))</f>
        <v>Ephesians 2:1-10,</v>
      </c>
      <c r="H100" s="111" t="str">
        <f>IF(ISBLANK(BG7),IF(MOD(A7,2),LOOKUP(E100,AK7:AN182),LOOKUP(E100,AU:AX)),IF(C27&gt;2,LOOKUP(E100,BE:BH),IF(C27=2,LOOKUP(E100,AU:AX),LOOKUP(E100,AK:AN))))</f>
        <v>Hebrews 6:1-12,</v>
      </c>
      <c r="I100" s="111" t="str">
        <f>IF(ISBLANK(BG7),IF(MOD(A7,2),LOOKUP(E100,AK7:AO182),LOOKUP(E100,AU:AY)),IF(C27&gt;2,LOOKUP(E100,BE:BI),IF(C27=2,LOOKUP(E100,AU:AY),LOOKUP(E100,AK:AO))))</f>
        <v>Hebrews 6:13-20,</v>
      </c>
      <c r="J100" s="111" t="str">
        <f>IF(ISBLANK(BG7),IF(MOD(A7,2),LOOKUP(E100,AK7:AP182),LOOKUP(E100,AU:AZ)),IF(C27&gt;2,LOOKUP(E100,BE:BJ),IF(C27=2,LOOKUP(E100,AU:AZ),LOOKUP(E100,AK:AP))))</f>
        <v>Hebrews 7:1-17,</v>
      </c>
      <c r="K100" s="111" t="str">
        <f>IF(ISBLANK(BG7),IF(MOD(A7,2),LOOKUP(E100,AK7:AQ182),LOOKUP(E100,AU:BA)),IF(C27&gt;2,LOOKUP(E100,BE:BK),IF(C27=2,LOOKUP(E100,AU:BA),LOOKUP(E100,AK:AQ))))</f>
        <v>Hebrews 7:18-28,</v>
      </c>
      <c r="L100" s="111" t="str">
        <f>IF(ISBLANK(BG7),IF(MOD(A7,2),LOOKUP(E100,AK7:AR182),LOOKUP(E100,AU:BB)),IF(C27&gt;2,LOOKUP(E100,BE:BL),IF(C27=2,LOOKUP(E100,AU:BB),LOOKUP(E100,AK:AR))))</f>
        <v>Hebrews 8:1-13,</v>
      </c>
      <c r="M100" s="111" t="str">
        <f>IF(ISBLANK(BG7),IF(MOD(A7,2),LOOKUP(E100,AK7:AS182),LOOKUP(E100,AU:BC)),IF(C27&gt;2,LOOKUP(E100,BE:BM),IF(C27=2,LOOKUP(E100,AU:BC),LOOKUP(E100,AK:AS))))</f>
        <v>Hebrews 9:1-14,</v>
      </c>
      <c r="N100" s="251"/>
      <c r="O100" s="78"/>
      <c r="Z100" s="12"/>
      <c r="AK100" s="2">
        <v>93</v>
      </c>
      <c r="AL100" s="13" t="s">
        <v>1898</v>
      </c>
      <c r="AM100" s="64" t="s">
        <v>1159</v>
      </c>
      <c r="AN100" s="64" t="s">
        <v>827</v>
      </c>
      <c r="AO100" s="63" t="s">
        <v>828</v>
      </c>
      <c r="AP100" s="64" t="s">
        <v>829</v>
      </c>
      <c r="AQ100" s="63" t="s">
        <v>830</v>
      </c>
      <c r="AR100" s="64" t="s">
        <v>831</v>
      </c>
      <c r="AS100" s="144" t="s">
        <v>1031</v>
      </c>
      <c r="AU100" s="2">
        <v>93</v>
      </c>
      <c r="AV100" s="13" t="s">
        <v>1898</v>
      </c>
      <c r="AW100" s="67" t="s">
        <v>1899</v>
      </c>
      <c r="AX100" s="66" t="s">
        <v>899</v>
      </c>
      <c r="AY100" s="67" t="s">
        <v>900</v>
      </c>
      <c r="AZ100" s="66" t="s">
        <v>505</v>
      </c>
      <c r="BA100" s="67" t="s">
        <v>901</v>
      </c>
      <c r="BB100" s="66" t="s">
        <v>1900</v>
      </c>
      <c r="BC100" s="67" t="s">
        <v>903</v>
      </c>
      <c r="BE100" s="2">
        <v>93</v>
      </c>
      <c r="BF100" s="13" t="s">
        <v>1898</v>
      </c>
      <c r="BG100" s="68" t="s">
        <v>1901</v>
      </c>
      <c r="BH100" s="69" t="s">
        <v>1902</v>
      </c>
      <c r="BI100" s="68" t="s">
        <v>1903</v>
      </c>
      <c r="BJ100" s="69" t="s">
        <v>1904</v>
      </c>
      <c r="BK100" s="69" t="s">
        <v>1905</v>
      </c>
      <c r="BL100" s="69" t="s">
        <v>1906</v>
      </c>
      <c r="BM100" s="69" t="s">
        <v>1907</v>
      </c>
    </row>
    <row r="101" spans="2:65" ht="12.75">
      <c r="B101" s="4"/>
      <c r="C101" s="4"/>
      <c r="D101" s="256"/>
      <c r="E101" s="266">
        <v>91</v>
      </c>
      <c r="F101" s="258"/>
      <c r="G101" s="199" t="str">
        <f>IF(ISBLANK(BG7),IF(MOD(A7,2),LOOKUP(E101,AK7:AM182),LOOKUP(E101,AU:AW)),IF(C27&gt;2,LOOKUP(E101,BE:BG),IF(C27=2,LOOKUP(E101,AU:AW),LOOKUP(E101,AK:AM))))</f>
        <v>Matthew 10:24-33, 40-42</v>
      </c>
      <c r="H101" s="260" t="str">
        <f>IF(ISBLANK(BG7),IF(MOD(A7,2),LOOKUP(E101,AK7:AN182),LOOKUP(E101,AU:AX)),IF(C27&gt;2,LOOKUP(E101,BE:BH),IF(C27=2,LOOKUP(E101,AU:AX),LOOKUP(E101,AK:AN))))</f>
        <v>Luke 9:51-62</v>
      </c>
      <c r="I101" s="260" t="str">
        <f>IF(ISBLANK(BG7),IF(MOD(A7,2),LOOKUP(E101,AK7:AO182),LOOKUP(E101,AU:AY)),IF(C27&gt;2,LOOKUP(E101,BE:BI),IF(C27=2,LOOKUP(E101,AU:AY),LOOKUP(E101,AK:AO))))</f>
        <v>Luke 10:1-17</v>
      </c>
      <c r="J101" s="260" t="str">
        <f>IF(ISBLANK(BG7),IF(MOD(A7,2),LOOKUP(E101,AK7:AP182),LOOKUP(E101,AU:AZ)),IF(C27&gt;2,LOOKUP(E101,BE:BJ),IF(C27=2,LOOKUP(E101,AU:AZ),LOOKUP(E101,AK:AP))))</f>
        <v>Luke 10:17-24</v>
      </c>
      <c r="K101" s="260" t="str">
        <f>IF(ISBLANK(BG7),IF(MOD(A7,2),LOOKUP(E101,AK7:AQ182),LOOKUP(E101,AU:BA)),IF(C27&gt;2,LOOKUP(E101,BE:BK),IF(C27=2,LOOKUP(E101,AU:BA),LOOKUP(E101,AK:AQ))))</f>
        <v>Luke 10:25-37</v>
      </c>
      <c r="L101" s="260" t="str">
        <f>IF(ISBLANK(BG7),IF(MOD(A7,2),LOOKUP(E101,AK7:AR182),LOOKUP(E101,AU:BB)),IF(C27&gt;2,LOOKUP(E101,BE:BL),IF(C27=2,LOOKUP(E101,AU:BB),LOOKUP(E101,AK:AR))))</f>
        <v>Luke 10:38-42</v>
      </c>
      <c r="M101" s="260" t="str">
        <f>IF(ISBLANK(BG7),IF(MOD(A7,2),LOOKUP(E101,AK7:AS182),LOOKUP(E101,AU:BC)),IF(C27&gt;2,LOOKUP(E101,BE:BM),IF(C27=2,LOOKUP(E101,AU:BC),LOOKUP(E101,AK:AS))))</f>
        <v>Luke 11:14-23</v>
      </c>
      <c r="N101" s="267"/>
      <c r="O101" s="99"/>
      <c r="Z101" s="12"/>
      <c r="AK101" s="2">
        <v>94</v>
      </c>
      <c r="AL101" s="248" t="s">
        <v>1908</v>
      </c>
      <c r="AM101" s="64" t="s">
        <v>1909</v>
      </c>
      <c r="AN101" s="64" t="s">
        <v>1910</v>
      </c>
      <c r="AO101" s="63" t="s">
        <v>1911</v>
      </c>
      <c r="AP101" s="64" t="s">
        <v>1912</v>
      </c>
      <c r="AQ101" s="63" t="s">
        <v>1913</v>
      </c>
      <c r="AR101" s="64" t="s">
        <v>1914</v>
      </c>
      <c r="AS101" s="242" t="s">
        <v>1915</v>
      </c>
      <c r="AU101" s="2">
        <v>94</v>
      </c>
      <c r="AV101" s="248" t="s">
        <v>1908</v>
      </c>
      <c r="AW101" s="104" t="s">
        <v>1916</v>
      </c>
      <c r="AX101" s="103" t="s">
        <v>1917</v>
      </c>
      <c r="AY101" s="67" t="s">
        <v>1918</v>
      </c>
      <c r="AZ101" s="103" t="s">
        <v>1919</v>
      </c>
      <c r="BA101" s="104" t="s">
        <v>1920</v>
      </c>
      <c r="BB101" s="103" t="s">
        <v>1921</v>
      </c>
      <c r="BC101" s="104" t="s">
        <v>1922</v>
      </c>
      <c r="BE101" s="2">
        <v>94</v>
      </c>
      <c r="BF101" s="248" t="s">
        <v>1908</v>
      </c>
      <c r="BG101" s="68" t="s">
        <v>1923</v>
      </c>
      <c r="BH101" s="69" t="s">
        <v>1924</v>
      </c>
      <c r="BI101" s="68" t="s">
        <v>1925</v>
      </c>
      <c r="BJ101" s="69" t="s">
        <v>1926</v>
      </c>
      <c r="BK101" s="69" t="s">
        <v>1927</v>
      </c>
      <c r="BL101" s="69" t="s">
        <v>1928</v>
      </c>
      <c r="BM101" s="69" t="s">
        <v>1929</v>
      </c>
    </row>
    <row r="102" spans="2:65" ht="12.75">
      <c r="B102" s="4"/>
      <c r="C102" s="4"/>
      <c r="D102" s="138">
        <f>B19</f>
        <v>41413</v>
      </c>
      <c r="E102" s="73">
        <v>92</v>
      </c>
      <c r="F102" s="262" t="s">
        <v>35</v>
      </c>
      <c r="G102" s="107" t="str">
        <f>IF(ISBLANK(BG7),IF(MOD(A7,2),LOOKUP(E102,AK7:AM182),LOOKUP(E102,AU:AW)),IF(C27&gt;2,LOOKUP(E102,BE:BG),IF(C27=2,LOOKUP(E102,AU:AW),LOOKUP(E102,AK:AM))))</f>
        <v>Isaiah 11:1-9,</v>
      </c>
      <c r="H102" s="264" t="str">
        <f>IF(ISBLANK(BG7),IF(MOD(A7,2),LOOKUP(E102,AK7:AN182),LOOKUP(E102,AU:AX)),IF(C27&gt;2,LOOKUP(E102,BE:BH),IF(C27=2,LOOKUP(E102,AU:AX),LOOKUP(E102,AK:AN))))</f>
        <v>Isaiah 63:7-14,</v>
      </c>
      <c r="I102" s="264" t="str">
        <f>IF(ISBLANK(BG7),IF(MOD(A7,2),LOOKUP(E102,AK7:AO182),LOOKUP(E102,AU:AY)),IF(C27&gt;2,LOOKUP(E102,BE:BI),IF(C27=2,LOOKUP(E102,AU:AY),LOOKUP(E102,AK:AO))))</f>
        <v>Isaiah 63:15-64:9,</v>
      </c>
      <c r="J102" s="264" t="str">
        <f>IF(ISBLANK(BG7),IF(MOD(A7,2),LOOKUP(E102,AK7:AP182),LOOKUP(E102,AU:AZ)),IF(C27&gt;2,LOOKUP(E102,BE:BJ),IF(C27=2,LOOKUP(E102,AU:AZ),LOOKUP(E102,AK:AP))))</f>
        <v>Isaiah 65:1-12,</v>
      </c>
      <c r="K102" s="264" t="str">
        <f>IF(ISBLANK(BG7),IF(MOD(A7,2),LOOKUP(E102,AK7:AQ182),LOOKUP(E102,AU:BA)),IF(C27&gt;2,LOOKUP(E102,BE:BK),IF(C27=2,LOOKUP(E102,AU:BA),LOOKUP(E102,AK:AQ))))</f>
        <v>Isaiah 65:17-25,</v>
      </c>
      <c r="L102" s="264" t="str">
        <f>IF(ISBLANK(BG7),IF(MOD(A7,2),LOOKUP(E102,AK7:AR182),LOOKUP(E102,AU:BB)),IF(C27&gt;2,LOOKUP(E102,BE:BL),IF(C27=2,LOOKUP(E102,AU:BB),LOOKUP(E102,AK:AR))))</f>
        <v>Isaiah 66:1-6,</v>
      </c>
      <c r="M102" s="264" t="str">
        <f>IF(ISBLANK(BG7),IF(MOD(A7,2),LOOKUP(E102,AK7:AS182),LOOKUP(E102,AU:BC)),IF(C27&gt;2,LOOKUP(E102,BE:BM),IF(C27=2,LOOKUP(E102,AU:BC),LOOKUP(E102,AK:AS))))</f>
        <v>Isaiah 66:7-14,</v>
      </c>
      <c r="N102" s="251" t="s">
        <v>35</v>
      </c>
      <c r="O102" s="109">
        <f>D102</f>
        <v>41413</v>
      </c>
      <c r="Z102" s="12"/>
      <c r="AK102" s="2">
        <v>95</v>
      </c>
      <c r="AL102" s="13" t="s">
        <v>1930</v>
      </c>
      <c r="AM102" s="89" t="s">
        <v>1931</v>
      </c>
      <c r="AN102" s="89" t="s">
        <v>1932</v>
      </c>
      <c r="AO102" s="88" t="s">
        <v>1933</v>
      </c>
      <c r="AP102" s="89" t="s">
        <v>939</v>
      </c>
      <c r="AQ102" s="88" t="s">
        <v>940</v>
      </c>
      <c r="AR102" s="89" t="s">
        <v>1934</v>
      </c>
      <c r="AS102" s="89" t="s">
        <v>1935</v>
      </c>
      <c r="AU102" s="2">
        <v>95</v>
      </c>
      <c r="AV102" s="13" t="s">
        <v>1930</v>
      </c>
      <c r="AW102" s="67" t="s">
        <v>1936</v>
      </c>
      <c r="AX102" s="66" t="s">
        <v>1937</v>
      </c>
      <c r="AY102" s="91" t="s">
        <v>944</v>
      </c>
      <c r="AZ102" s="66" t="s">
        <v>945</v>
      </c>
      <c r="BA102" s="67" t="s">
        <v>946</v>
      </c>
      <c r="BB102" s="66" t="s">
        <v>947</v>
      </c>
      <c r="BC102" s="67" t="s">
        <v>948</v>
      </c>
      <c r="BE102" s="2">
        <v>95</v>
      </c>
      <c r="BF102" s="13" t="s">
        <v>1930</v>
      </c>
      <c r="BG102" s="68" t="s">
        <v>1938</v>
      </c>
      <c r="BH102" s="69" t="s">
        <v>1939</v>
      </c>
      <c r="BI102" s="68" t="s">
        <v>1940</v>
      </c>
      <c r="BJ102" s="69" t="s">
        <v>1941</v>
      </c>
      <c r="BK102" s="69" t="s">
        <v>1942</v>
      </c>
      <c r="BL102" s="69" t="s">
        <v>1943</v>
      </c>
      <c r="BM102" s="69" t="s">
        <v>1944</v>
      </c>
    </row>
    <row r="103" spans="2:65" ht="12.75">
      <c r="B103" s="4"/>
      <c r="C103" s="4"/>
      <c r="D103" s="138"/>
      <c r="E103" s="73">
        <v>93</v>
      </c>
      <c r="F103" s="250"/>
      <c r="G103" s="255" t="str">
        <f>IF(ISBLANK(BG7),IF(MOD(A7,2),LOOKUP(E103,AK7:AM182),LOOKUP(E103,AU:AW)),IF(C27&gt;2,LOOKUP(E103,BE:BG),IF(C27=2,LOOKUP(E103,AU:AW),LOOKUP(E103,AK:AM))))</f>
        <v>1 Corinthians 2:1-13,</v>
      </c>
      <c r="H103" s="111" t="str">
        <f>IF(ISBLANK(BG7),IF(MOD(A7,2),LOOKUP(E103,AK7:AN182),LOOKUP(E103,AU:AX)),IF(C27&gt;2,LOOKUP(E103,BE:BH),IF(C27=2,LOOKUP(E103,AU:AX),LOOKUP(E103,AK:AN))))</f>
        <v>2 Timothy 1:1-14,</v>
      </c>
      <c r="I103" s="111" t="str">
        <f>IF(ISBLANK(BG7),IF(MOD(A7,2),LOOKUP(E103,AK7:AO182),LOOKUP(E103,AU:AY)),IF(C27&gt;2,LOOKUP(E103,BE:BI),IF(C27=2,LOOKUP(E103,AU:AY),LOOKUP(E103,AK:AO))))</f>
        <v>2 Timothy 1:15-2:13,</v>
      </c>
      <c r="J103" s="111" t="str">
        <f>IF(ISBLANK(BG7),IF(MOD(A7,2),LOOKUP(E103,AK7:AP182),LOOKUP(E103,AU:AZ)),IF(C27&gt;2,LOOKUP(E103,BE:BJ),IF(C27=2,LOOKUP(E103,AU:AZ),LOOKUP(E103,AK:AP))))</f>
        <v>2 Timothy 2:14-26,</v>
      </c>
      <c r="K103" s="111" t="str">
        <f>IF(ISBLANK(BG7),IF(MOD(A7,2),LOOKUP(E103,AK7:AQ182),LOOKUP(E103,AU:BA)),IF(C27&gt;2,LOOKUP(E103,BE:BK),IF(C27=2,LOOKUP(E103,AU:BA),LOOKUP(E103,AK:AQ))))</f>
        <v>2 Timothy 3:1-17,</v>
      </c>
      <c r="L103" s="111" t="str">
        <f>IF(ISBLANK(BG7),IF(MOD(A7,2),LOOKUP(E103,AK7:AR182),LOOKUP(E103,AU:BB)),IF(C27&gt;2,LOOKUP(E103,BE:BL),IF(C27=2,LOOKUP(E103,AU:BB),LOOKUP(E103,AK:AR))))</f>
        <v>2 Timothy 4:1-8,</v>
      </c>
      <c r="M103" s="111" t="str">
        <f>IF(ISBLANK(BG7),IF(MOD(A7,2),LOOKUP(E103,AK7:AS182),LOOKUP(E103,AU:BC)),IF(C27&gt;2,LOOKUP(E103,BE:BM),IF(C27=2,LOOKUP(E103,AU:BC),LOOKUP(E103,AK:AS))))</f>
        <v>2 Timothy 4:9-22,</v>
      </c>
      <c r="N103" s="251"/>
      <c r="O103" s="78"/>
      <c r="Z103" s="12"/>
      <c r="AK103" s="2">
        <v>96</v>
      </c>
      <c r="AL103" s="13" t="s">
        <v>1945</v>
      </c>
      <c r="AM103" s="64" t="s">
        <v>437</v>
      </c>
      <c r="AN103" s="64" t="s">
        <v>892</v>
      </c>
      <c r="AO103" s="63" t="s">
        <v>893</v>
      </c>
      <c r="AP103" s="64" t="s">
        <v>894</v>
      </c>
      <c r="AQ103" s="63" t="s">
        <v>895</v>
      </c>
      <c r="AR103" s="64" t="s">
        <v>1946</v>
      </c>
      <c r="AS103" s="144" t="s">
        <v>1947</v>
      </c>
      <c r="AU103" s="2">
        <v>96</v>
      </c>
      <c r="AV103" s="13" t="s">
        <v>1945</v>
      </c>
      <c r="AW103" s="67" t="s">
        <v>1948</v>
      </c>
      <c r="AX103" s="66" t="s">
        <v>965</v>
      </c>
      <c r="AY103" s="67" t="s">
        <v>966</v>
      </c>
      <c r="AZ103" s="66" t="s">
        <v>355</v>
      </c>
      <c r="BA103" s="67" t="s">
        <v>967</v>
      </c>
      <c r="BB103" s="66" t="s">
        <v>360</v>
      </c>
      <c r="BC103" s="67" t="s">
        <v>361</v>
      </c>
      <c r="BE103" s="2">
        <v>96</v>
      </c>
      <c r="BF103" s="13" t="s">
        <v>1945</v>
      </c>
      <c r="BG103" s="68" t="s">
        <v>1949</v>
      </c>
      <c r="BH103" s="69" t="s">
        <v>1950</v>
      </c>
      <c r="BI103" s="68" t="s">
        <v>1951</v>
      </c>
      <c r="BJ103" s="69" t="s">
        <v>1952</v>
      </c>
      <c r="BK103" s="69" t="s">
        <v>1953</v>
      </c>
      <c r="BL103" s="69" t="s">
        <v>1954</v>
      </c>
      <c r="BM103" s="69" t="s">
        <v>1955</v>
      </c>
    </row>
    <row r="104" spans="2:65" ht="12.75">
      <c r="B104" s="4"/>
      <c r="C104" s="4"/>
      <c r="D104" s="138"/>
      <c r="E104" s="73">
        <v>94</v>
      </c>
      <c r="F104" s="258"/>
      <c r="G104" s="199" t="str">
        <f>IF(ISBLANK(BG7),IF(MOD(A7,2),LOOKUP(E104,AK7:AM182),LOOKUP(E104,AU:AW)),IF(C27&gt;2,LOOKUP(E104,BE:BG),IF(C27=2,LOOKUP(E104,AU:AW),LOOKUP(E104,AK:AM))))</f>
        <v>John 14:21-29</v>
      </c>
      <c r="H104" s="260" t="str">
        <f>IF(ISBLANK(BG7),IF(MOD(A7,2),LOOKUP(E104,AK7:AN182),LOOKUP(E104,AU:AX)),IF(C27&gt;2,LOOKUP(E104,BE:BH),IF(C27=2,LOOKUP(E104,AU:AX),LOOKUP(E104,AK:AN))))</f>
        <v>Luke 11:24-36</v>
      </c>
      <c r="I104" s="260" t="str">
        <f>IF(ISBLANK(BG7),IF(MOD(A7,2),LOOKUP(E104,AK7:AO182),LOOKUP(E104,AU:AY)),IF(C27&gt;2,LOOKUP(E104,BE:BI),IF(C27=2,LOOKUP(E104,AU:AY),LOOKUP(E104,AK:AO))))</f>
        <v>Luke 11:37-52</v>
      </c>
      <c r="J104" s="260" t="str">
        <f>IF(ISBLANK(BG7),IF(MOD(A7,2),LOOKUP(E104,AK7:AP182),LOOKUP(E104,AU:AZ)),IF(C27&gt;2,LOOKUP(E104,BE:BJ),IF(C27=2,LOOKUP(E104,AU:AZ),LOOKUP(E104,AK:AP))))</f>
        <v>Luke 11:53-12:12</v>
      </c>
      <c r="K104" s="260" t="str">
        <f>IF(ISBLANK(BG7),IF(MOD(A7,2),LOOKUP(E104,AK7:AQ182),LOOKUP(E104,AU:BA)),IF(C27&gt;2,LOOKUP(E104,BE:BK),IF(C27=2,LOOKUP(E104,AU:BA),LOOKUP(E104,AK:AQ))))</f>
        <v>Luke 12:13-31</v>
      </c>
      <c r="L104" s="260" t="str">
        <f>IF(ISBLANK(BG7),IF(MOD(A7,2),LOOKUP(E104,AK7:AR182),LOOKUP(E104,AU:BB)),IF(C27&gt;2,LOOKUP(E104,BE:BL),IF(C27=2,LOOKUP(E104,AU:BB),LOOKUP(E104,AK:AR))))</f>
        <v>Luke 12:32-48</v>
      </c>
      <c r="M104" s="260" t="str">
        <f>IF(ISBLANK(BG7),IF(MOD(A7,2),LOOKUP(E104,AK7:AS182),LOOKUP(E104,AU:BC)),IF(C27&gt;2,LOOKUP(E104,BE:BM),IF(C27=2,LOOKUP(E104,AU:BC),LOOKUP(E104,AK:AS))))</f>
        <v>Luke 12:49-59</v>
      </c>
      <c r="N104" s="251"/>
      <c r="O104" s="78"/>
      <c r="Z104" s="12"/>
      <c r="AK104" s="2">
        <v>97</v>
      </c>
      <c r="AL104" s="13" t="s">
        <v>1956</v>
      </c>
      <c r="AM104" s="102" t="s">
        <v>591</v>
      </c>
      <c r="AN104" s="102" t="s">
        <v>1957</v>
      </c>
      <c r="AO104" s="101" t="s">
        <v>1958</v>
      </c>
      <c r="AP104" s="102" t="s">
        <v>1959</v>
      </c>
      <c r="AQ104" s="101" t="s">
        <v>1960</v>
      </c>
      <c r="AR104" s="102" t="s">
        <v>1961</v>
      </c>
      <c r="AS104" s="249" t="s">
        <v>1962</v>
      </c>
      <c r="AU104" s="2">
        <v>97</v>
      </c>
      <c r="AV104" s="13" t="s">
        <v>1956</v>
      </c>
      <c r="AW104" s="67" t="s">
        <v>590</v>
      </c>
      <c r="AX104" s="66" t="s">
        <v>1963</v>
      </c>
      <c r="AY104" s="104" t="s">
        <v>1964</v>
      </c>
      <c r="AZ104" s="66" t="s">
        <v>1965</v>
      </c>
      <c r="BA104" s="67" t="s">
        <v>1966</v>
      </c>
      <c r="BB104" s="66" t="s">
        <v>1967</v>
      </c>
      <c r="BC104" s="67" t="s">
        <v>1968</v>
      </c>
      <c r="BE104" s="2">
        <v>97</v>
      </c>
      <c r="BF104" s="13" t="s">
        <v>1956</v>
      </c>
      <c r="BG104" s="68" t="s">
        <v>1969</v>
      </c>
      <c r="BH104" s="69" t="s">
        <v>1970</v>
      </c>
      <c r="BI104" s="68" t="s">
        <v>1971</v>
      </c>
      <c r="BJ104" s="69" t="s">
        <v>1972</v>
      </c>
      <c r="BK104" s="69" t="s">
        <v>1973</v>
      </c>
      <c r="BL104" s="69" t="s">
        <v>1974</v>
      </c>
      <c r="BM104" s="69" t="s">
        <v>1975</v>
      </c>
    </row>
    <row r="105" spans="2:65" ht="12.75">
      <c r="B105" s="4"/>
      <c r="C105" s="4"/>
      <c r="D105" s="254">
        <f>B19+7</f>
        <v>41420</v>
      </c>
      <c r="E105" s="261">
        <v>95</v>
      </c>
      <c r="F105" s="262" t="s">
        <v>1976</v>
      </c>
      <c r="G105" s="107" t="str">
        <f>IF(ISBLANK(BG7),IF(MOD(A7,2),LOOKUP(E105,AK7:AM182),LOOKUP(E105,AU:AW)),IF(C27&gt;2,LOOKUP(E105,BE:BG),IF(C27=2,LOOKUP(E105,AU:AW),LOOKUP(E105,AK:AM))))</f>
        <v>Deuteronomy 6:1-9 (10-15),</v>
      </c>
      <c r="H105" s="264" t="str">
        <f>IF(ISBLANK(BG7),IF(MOD(A7,2),LOOKUP(E105,AK7:AN182),LOOKUP(E105,AU:AX)),IF(C27&gt;2,LOOKUP(E105,BE:BH),IF(C27=2,LOOKUP(E105,AU:AX),LOOKUP(E105,AK:AN))))</f>
        <v>Ruth 1:1-18,</v>
      </c>
      <c r="I105" s="264" t="str">
        <f>IF(ISBLANK(BG7),IF(MOD(A7,2),LOOKUP(E105,AK7:AO182),LOOKUP(E105,AU:AY)),IF(C27&gt;2,LOOKUP(E105,BE:BI),IF(C27=2,LOOKUP(E105,AU:AY),LOOKUP(E105,AK:AO))))</f>
        <v>Ruth 1:19-2:13,</v>
      </c>
      <c r="J105" s="264" t="str">
        <f>IF(ISBLANK(BG7),IF(MOD(A7,2),LOOKUP(E105,AK7:AP182),LOOKUP(E105,AU:AZ)),IF(C27&gt;2,LOOKUP(E105,BE:BJ),IF(C27=2,LOOKUP(E105,AU:AZ),LOOKUP(E105,AK:AP))))</f>
        <v>Ruth 2:14-23,</v>
      </c>
      <c r="K105" s="264" t="str">
        <f>IF(ISBLANK(BG7),IF(MOD(A7,2),LOOKUP(E105,AK7:AQ182),LOOKUP(E105,AU:BA)),IF(C27&gt;2,LOOKUP(E105,BE:BK),IF(C27=2,LOOKUP(E105,AU:BA),LOOKUP(E105,AK:AQ))))</f>
        <v>Ruth 3:1-18,</v>
      </c>
      <c r="L105" s="264" t="str">
        <f>IF(ISBLANK(BG7),IF(MOD(A7,2),LOOKUP(E105,AK7:AR182),LOOKUP(E105,AU:BB)),IF(C27&gt;2,LOOKUP(E105,BE:BL),IF(C27=2,LOOKUP(E105,AU:BB),LOOKUP(E105,AK:AR))))</f>
        <v>Ruth 4:1-22,</v>
      </c>
      <c r="M105" s="264" t="str">
        <f>IF(ISBLANK(BG7),IF(MOD(A7,2),LOOKUP(E105,AK7:AS182),LOOKUP(E105,AU:BC)),IF(C27&gt;2,LOOKUP(E105,BE:BM),IF(C27=2,LOOKUP(E105,AU:BC),LOOKUP(E105,AK:AS))))</f>
        <v>Deuteronomy 1:1-8,</v>
      </c>
      <c r="N105" s="265" t="s">
        <v>1976</v>
      </c>
      <c r="O105" s="56">
        <f>D105</f>
        <v>41420</v>
      </c>
      <c r="Z105" s="12"/>
      <c r="AK105" s="2">
        <v>98</v>
      </c>
      <c r="AL105" s="245" t="s">
        <v>1977</v>
      </c>
      <c r="AM105" s="281" t="s">
        <v>1000</v>
      </c>
      <c r="AN105" s="282" t="s">
        <v>1001</v>
      </c>
      <c r="AO105" s="283" t="s">
        <v>1002</v>
      </c>
      <c r="AP105" s="283" t="s">
        <v>1003</v>
      </c>
      <c r="AQ105" s="283" t="s">
        <v>1004</v>
      </c>
      <c r="AR105" s="283" t="s">
        <v>1005</v>
      </c>
      <c r="AS105" s="283" t="s">
        <v>1006</v>
      </c>
      <c r="AU105" s="2">
        <v>98</v>
      </c>
      <c r="AV105" s="245" t="s">
        <v>1977</v>
      </c>
      <c r="AW105" s="91" t="s">
        <v>1007</v>
      </c>
      <c r="AX105" s="90" t="s">
        <v>1008</v>
      </c>
      <c r="AY105" s="91" t="s">
        <v>1009</v>
      </c>
      <c r="AZ105" s="90" t="s">
        <v>1010</v>
      </c>
      <c r="BA105" s="91" t="s">
        <v>1978</v>
      </c>
      <c r="BB105" s="90" t="s">
        <v>1979</v>
      </c>
      <c r="BC105" s="91" t="s">
        <v>1013</v>
      </c>
      <c r="BE105" s="2">
        <v>98</v>
      </c>
      <c r="BF105" s="245" t="s">
        <v>1977</v>
      </c>
      <c r="BG105" s="68" t="s">
        <v>1980</v>
      </c>
      <c r="BH105" s="69" t="s">
        <v>1981</v>
      </c>
      <c r="BI105" s="68" t="s">
        <v>1982</v>
      </c>
      <c r="BJ105" s="69" t="s">
        <v>1983</v>
      </c>
      <c r="BK105" s="69" t="s">
        <v>1984</v>
      </c>
      <c r="BL105" s="69" t="s">
        <v>1985</v>
      </c>
      <c r="BM105" s="69" t="s">
        <v>1986</v>
      </c>
    </row>
    <row r="106" spans="2:65" ht="12.75">
      <c r="B106" s="4"/>
      <c r="C106" s="4"/>
      <c r="D106" s="138"/>
      <c r="E106" s="73">
        <v>96</v>
      </c>
      <c r="F106" s="250"/>
      <c r="G106" s="255" t="str">
        <f>IF(ISBLANK(BG7),IF(MOD(A7,2),LOOKUP(E106,AK7:AM182),LOOKUP(E106,AU:AW)),IF(C27&gt;2,LOOKUP(E106,BE:BG),IF(C27=2,LOOKUP(E106,AU:AW),LOOKUP(E16,AK:AM))))</f>
        <v>Ephesians 4:1-16,</v>
      </c>
      <c r="H106" s="111" t="str">
        <f>IF(ISBLANK(BG7),IF(MOD(A7,2),LOOKUP(E106,AK7:AN182),LOOKUP(E106,AU:AX)),IF(C27&gt;2,LOOKUP(E106,BE:BH),IF(C27=2,LOOKUP(E106,AU:AX),LOOKUP(E106,AK:AN))))</f>
        <v>1 Timothy 1:1-17,</v>
      </c>
      <c r="I106" s="111" t="str">
        <f>IF(ISBLANK(BG7),IF(MOD(A7,2),LOOKUP(E106,AK7:AO182),LOOKUP(E106,AU:AY)),IF(C27&gt;2,LOOKUP(E106,BE:BI),IF(C27=2,LOOKUP(E106,AU:AY),LOOKUP(E106,AK:AO))))</f>
        <v>1 Timothy 1:18-2:8 (9-15),</v>
      </c>
      <c r="J106" s="111" t="str">
        <f>IF(ISBLANK(BG7),IF(MOD(A7,2),LOOKUP(E106,AK7:AP182),LOOKUP(E106,AU:AZ)),IF(C27&gt;2,LOOKUP(E106,BE:BJ),IF(C27=2,LOOKUP(E106,AU:AZ),LOOKUP(E106,AK:AP))))</f>
        <v>1 Timothy 3:1-16,</v>
      </c>
      <c r="K106" s="111" t="str">
        <f>IF(ISBLANK(BG7),IF(MOD(A7,2),LOOKUP(E106,AK7:AQ182),LOOKUP(E106,AU:BA)),IF(C27&gt;2,LOOKUP(E106,BE:BK),IF(C27=2,LOOKUP(E106,AU:BA),LOOKUP(E106,AK:AQ))))</f>
        <v>1 Timothy 4:1-16,</v>
      </c>
      <c r="L106" s="111" t="str">
        <f>IF(ISBLANK(BG7),IF(MOD(A7,2),LOOKUP(E106,AK7:AR182),LOOKUP(E106,AU:BB)),IF(C27&gt;2,LOOKUP(E106,BE:BL),IF(C27=2,LOOKUP(E106,AU:BB),LOOKUP(E106,AK:AR))))</f>
        <v>1 Timothy 5:17-22 (23-25),</v>
      </c>
      <c r="M106" s="111" t="str">
        <f>IF(ISBLANK(BG7),IF(MOD(A7,2),LOOKUP(E106,AK7:AS182),LOOKUP(E106,AU:BC)),IF(C27&gt;2,LOOKUP(E106,BE:BM),IF(C27=2,LOOKUP(E106,AU:BC),LOOKUP(E106,AK:AS))))</f>
        <v>1 Timothy 6:6-21,</v>
      </c>
      <c r="N106" s="251"/>
      <c r="O106" s="78"/>
      <c r="Z106" s="12"/>
      <c r="AK106" s="2">
        <v>99</v>
      </c>
      <c r="AL106" s="13" t="s">
        <v>1987</v>
      </c>
      <c r="AM106" s="284" t="s">
        <v>1988</v>
      </c>
      <c r="AN106" s="282" t="s">
        <v>958</v>
      </c>
      <c r="AO106" s="283" t="s">
        <v>959</v>
      </c>
      <c r="AP106" s="283" t="s">
        <v>960</v>
      </c>
      <c r="AQ106" s="283" t="s">
        <v>961</v>
      </c>
      <c r="AR106" s="283" t="s">
        <v>962</v>
      </c>
      <c r="AS106" s="283" t="s">
        <v>963</v>
      </c>
      <c r="AU106" s="2">
        <v>99</v>
      </c>
      <c r="AV106" s="13" t="s">
        <v>1987</v>
      </c>
      <c r="AW106" s="67" t="s">
        <v>1989</v>
      </c>
      <c r="AX106" s="66" t="s">
        <v>892</v>
      </c>
      <c r="AY106" s="67" t="s">
        <v>1990</v>
      </c>
      <c r="AZ106" s="66" t="s">
        <v>894</v>
      </c>
      <c r="BA106" s="67" t="s">
        <v>895</v>
      </c>
      <c r="BB106" s="66" t="s">
        <v>1946</v>
      </c>
      <c r="BC106" s="67" t="s">
        <v>1947</v>
      </c>
      <c r="BE106" s="2">
        <v>99</v>
      </c>
      <c r="BF106" s="13" t="s">
        <v>1987</v>
      </c>
      <c r="BG106" s="68" t="s">
        <v>1991</v>
      </c>
      <c r="BH106" s="69" t="s">
        <v>1992</v>
      </c>
      <c r="BI106" s="68" t="s">
        <v>1993</v>
      </c>
      <c r="BJ106" s="69" t="s">
        <v>1994</v>
      </c>
      <c r="BK106" s="69" t="s">
        <v>1995</v>
      </c>
      <c r="BL106" s="69" t="s">
        <v>1996</v>
      </c>
      <c r="BM106" s="69" t="s">
        <v>1997</v>
      </c>
    </row>
    <row r="107" spans="2:65" ht="12.75">
      <c r="B107" s="4"/>
      <c r="C107" s="4"/>
      <c r="D107" s="256"/>
      <c r="E107" s="266">
        <v>97</v>
      </c>
      <c r="F107" s="258"/>
      <c r="G107" s="199" t="str">
        <f>IF(ISBLANK(BG7),IF(MOD(A7,2),LOOKUP(E107,AK7:AM182),LOOKUP(E107,AU:AW)),IF(C27&gt;2,LOOKUP(E107,BE:BG),IF(C27=2,LOOKUP(E107,AU:AW),LOOKUP(E107,AK:AM))))</f>
        <v>John 1:1-18</v>
      </c>
      <c r="H107" s="260" t="str">
        <f>IF(ISBLANK(BG7),IF(MOD(A7,2),LOOKUP(E107,AK7:AN182),LOOKUP(E107,AU:AX)),IF(C27&gt;2,LOOKUP(E107,BE:BH),IF(C27=2,LOOKUP(E107,AU:AX),LOOKUP(E107,AK:AN))))</f>
        <v>Luke 13:1-9</v>
      </c>
      <c r="I107" s="260" t="str">
        <f>IF(ISBLANK(BG7),IF(MOD(A7,2),LOOKUP(E107,AK7:AO182),LOOKUP(E107,AU:AY)),IF(C27&gt;2,LOOKUP(E107,BE:BI),IF(C27=2,LOOKUP(E107,AU:AY),LOOKUP(E107,AK:AO))))</f>
        <v>Luke 13:10-17</v>
      </c>
      <c r="J107" s="260" t="str">
        <f>IF(ISBLANK(BG7),IF(MOD(A7,2),LOOKUP(E107,AK7:AP182),LOOKUP(E107,AU:AZ)),IF(C27&gt;2,LOOKUP(E107,BE:BJ),IF(C27=2,LOOKUP(E107,AU:AZ),LOOKUP(E107,AK:AP))))</f>
        <v>Luke 13:18-30</v>
      </c>
      <c r="K107" s="260" t="str">
        <f>IF(ISBLANK(BG7),IF(MOD(A7,2),LOOKUP(E107,AK7:AQ182),LOOKUP(E107,AU:BA)),IF(C27&gt;2,LOOKUP(E107,BE:BK),IF(C27=2,LOOKUP(E107,AU:BA),LOOKUP(E107,AK:AQ))))</f>
        <v>Luke 13:31-35</v>
      </c>
      <c r="L107" s="260" t="str">
        <f>IF(ISBLANK(BG7),IF(MOD(A7,2),LOOKUP(E107,AK7:AR182),LOOKUP(E107,AU:BB)),IF(C27&gt;2,LOOKUP(E107,BE:BL),IF(C27=2,LOOKUP(E107,AU:BB),LOOKUP(E107,AK:AR))))</f>
        <v>Luke 14:1-11</v>
      </c>
      <c r="M107" s="260" t="str">
        <f>IF(ISBLANK(BG7),IF(MOD(A7,2),LOOKUP(E107,AK7:AS182),LOOKUP(E107,AU:BC)),IF(C27&gt;2,LOOKUP(E107,BE:BM),IF(C27=2,LOOKUP(E107,AU:BC),LOOKUP(E107,AK:AS))))</f>
        <v>Luke 14:12-24</v>
      </c>
      <c r="N107" s="267"/>
      <c r="O107" s="99"/>
      <c r="Z107" s="12"/>
      <c r="AK107" s="2">
        <v>100</v>
      </c>
      <c r="AL107" s="248" t="s">
        <v>1998</v>
      </c>
      <c r="AM107" s="285" t="s">
        <v>1999</v>
      </c>
      <c r="AN107" s="282" t="s">
        <v>2000</v>
      </c>
      <c r="AO107" s="283" t="s">
        <v>2001</v>
      </c>
      <c r="AP107" s="283" t="s">
        <v>2002</v>
      </c>
      <c r="AQ107" s="283" t="s">
        <v>2003</v>
      </c>
      <c r="AR107" s="283" t="s">
        <v>2004</v>
      </c>
      <c r="AS107" s="283" t="s">
        <v>2005</v>
      </c>
      <c r="AU107" s="2">
        <v>100</v>
      </c>
      <c r="AV107" s="248" t="s">
        <v>1998</v>
      </c>
      <c r="AW107" s="104" t="s">
        <v>2006</v>
      </c>
      <c r="AX107" s="103" t="s">
        <v>2007</v>
      </c>
      <c r="AY107" s="104" t="s">
        <v>2008</v>
      </c>
      <c r="AZ107" s="103" t="s">
        <v>2009</v>
      </c>
      <c r="BA107" s="104" t="s">
        <v>2010</v>
      </c>
      <c r="BB107" s="103" t="s">
        <v>2011</v>
      </c>
      <c r="BC107" s="104" t="s">
        <v>2012</v>
      </c>
      <c r="BE107" s="2">
        <v>100</v>
      </c>
      <c r="BF107" s="248" t="s">
        <v>1998</v>
      </c>
      <c r="BG107" s="68" t="s">
        <v>2013</v>
      </c>
      <c r="BH107" s="69" t="s">
        <v>2014</v>
      </c>
      <c r="BI107" s="68" t="s">
        <v>2015</v>
      </c>
      <c r="BJ107" s="69" t="s">
        <v>2016</v>
      </c>
      <c r="BK107" s="69" t="s">
        <v>2017</v>
      </c>
      <c r="BL107" s="69" t="s">
        <v>2018</v>
      </c>
      <c r="BM107" s="69" t="s">
        <v>2019</v>
      </c>
    </row>
    <row r="108" spans="2:65" ht="12.75">
      <c r="B108" s="4"/>
      <c r="C108" s="4"/>
      <c r="D108" s="138">
        <f>B19+14</f>
        <v>41427</v>
      </c>
      <c r="E108" s="73">
        <v>98</v>
      </c>
      <c r="F108" s="262" t="s">
        <v>2020</v>
      </c>
      <c r="G108" s="107" t="str">
        <f>IF(ISBLANK(BG7),IF(MOD(A7,2),LOOKUP(E108,AK7:AM182),LOOKUP(E108,AU:AW)),IF(C27&gt;2,LOOKUP(E108,BE:BG),IF(C27=2,LOOKUP(E108,AU:AW),LOOKUP(E108,AK:AM))))</f>
        <v>Deuteronomy 4:1-9,</v>
      </c>
      <c r="H108" s="264" t="str">
        <f>IF(ISBLANK(BG7),IF(MOD(A7,2),LOOKUP(E108,AK7:AN182),LOOKUP(E108,AU:AX)),IF(C27&gt;2,LOOKUP(E108,BE:BH),IF(C27=2,LOOKUP(E108,AU:AX),LOOKUP(E108,AK:AN))))</f>
        <v>Deuteronomy 4:9-14,</v>
      </c>
      <c r="I108" s="264" t="str">
        <f>IF(ISBLANK(BG7),IF(MOD(A7,2),LOOKUP(E108,AK7:AO182),LOOKUP(E108,AU:AY)),IF(C27&gt;2,LOOKUP(E108,BE:BI),IF(C27=2,LOOKUP(E108,AU:AY),LOOKUP(E108,AK:AO))))</f>
        <v>Deuteronomy 4:15-24,</v>
      </c>
      <c r="J108" s="264" t="str">
        <f>IF(ISBLANK(BG7),IF(MOD(A7,2),LOOKUP(E108,AK7:AP182),LOOKUP(E108,AU:AZ)),IF(C27&gt;2,LOOKUP(E108,BE:BJ),IF(C27=2,LOOKUP(E108,AU:AZ),LOOKUP(E108,AK:AP))))</f>
        <v>Deuteronomy 4:25-31,</v>
      </c>
      <c r="K108" s="264" t="str">
        <f>IF(ISBLANK(BG7),IF(MOD(A7,2),LOOKUP(E108,AK7:AQ182),LOOKUP(E108,AU:BA)),IF(C27&gt;2,LOOKUP(E108,BE:BK),IF(C27=2,LOOKUP(E108,AU:BA),LOOKUP(E108,AK:AQ))))</f>
        <v>Deuteronomy 4:32-40,</v>
      </c>
      <c r="L108" s="264" t="str">
        <f>IF(ISBLANK(BG7),IF(MOD(A7,2),LOOKUP(E108,AK7:AR182),LOOKUP(E108,AU:BB)),IF(C27&gt;2,LOOKUP(E108,BE:BL),IF(C27=2,LOOKUP(E108,AU:BB),LOOKUP(E108,AK:AR))))</f>
        <v>Deuteronomy 5:1-22,</v>
      </c>
      <c r="M108" s="264" t="str">
        <f>IF(ISBLANK(BG7),IF(MOD(A7,2),LOOKUP(E108,AK7:AS182),LOOKUP(E108,AU:BC)),IF(C27&gt;2,LOOKUP(E108,BE:BM),IF(C27=2,LOOKUP(E108,AU:BC),LOOKUP(E108,AK:AS))))</f>
        <v>Deuteronomy 5:22-33,</v>
      </c>
      <c r="N108" s="251" t="s">
        <v>2020</v>
      </c>
      <c r="O108" s="109">
        <f>D108</f>
        <v>41427</v>
      </c>
      <c r="Z108" s="12"/>
      <c r="AK108" s="2">
        <v>101</v>
      </c>
      <c r="AL108" s="13" t="s">
        <v>2021</v>
      </c>
      <c r="AM108" s="281" t="s">
        <v>2022</v>
      </c>
      <c r="AN108" s="286" t="s">
        <v>2023</v>
      </c>
      <c r="AO108" s="287" t="s">
        <v>2024</v>
      </c>
      <c r="AP108" s="287" t="s">
        <v>2025</v>
      </c>
      <c r="AQ108" s="287" t="s">
        <v>2026</v>
      </c>
      <c r="AR108" s="287" t="s">
        <v>2027</v>
      </c>
      <c r="AS108" s="287" t="s">
        <v>2028</v>
      </c>
      <c r="AU108" s="2">
        <v>101</v>
      </c>
      <c r="AV108" s="13" t="s">
        <v>2021</v>
      </c>
      <c r="AW108" s="67" t="s">
        <v>2029</v>
      </c>
      <c r="AX108" s="66" t="s">
        <v>2030</v>
      </c>
      <c r="AY108" s="67" t="s">
        <v>2031</v>
      </c>
      <c r="AZ108" s="66" t="s">
        <v>2032</v>
      </c>
      <c r="BA108" s="67" t="s">
        <v>2033</v>
      </c>
      <c r="BB108" s="66" t="s">
        <v>2034</v>
      </c>
      <c r="BC108" s="67" t="s">
        <v>2035</v>
      </c>
      <c r="BE108" s="2">
        <v>101</v>
      </c>
      <c r="BF108" s="13" t="s">
        <v>2021</v>
      </c>
      <c r="BG108" s="68" t="s">
        <v>2036</v>
      </c>
      <c r="BH108" s="69" t="s">
        <v>2037</v>
      </c>
      <c r="BI108" s="68" t="s">
        <v>2038</v>
      </c>
      <c r="BJ108" s="69" t="s">
        <v>2039</v>
      </c>
      <c r="BK108" s="69" t="s">
        <v>2040</v>
      </c>
      <c r="BL108" s="69" t="s">
        <v>2041</v>
      </c>
      <c r="BM108" s="69" t="s">
        <v>2042</v>
      </c>
    </row>
    <row r="109" spans="2:65" ht="12.75">
      <c r="B109" s="4"/>
      <c r="C109" s="279"/>
      <c r="D109" s="138"/>
      <c r="E109" s="73">
        <v>99</v>
      </c>
      <c r="F109" s="250"/>
      <c r="G109" s="255" t="str">
        <f>IF(ISBLANK(BG7),IF(MOD(A7,2),LOOKUP(E109,AK7:AM182),LOOKUP(E109,AU:AW)),IF(C27&gt;2,LOOKUP(E109,BE:BG),IF(C27=2,LOOKUP(E109,AU:AW),LOOKUP(E109,AK:AM))))</f>
        <v>Revelation 7:1-4, 9-17,</v>
      </c>
      <c r="H109" s="111" t="str">
        <f>IF(ISBLANK(BG7),IF(MOD(A7,2),LOOKUP(E109,AK7:AN182),LOOKUP(E109,AU:AX)),IF(C27&gt;2,LOOKUP(E109,BE:BH),IF(C27=2,LOOKUP(E109,AU:AX),LOOKUP(E109,AK:AN))))</f>
        <v>2 Corinthians 1:1-11,</v>
      </c>
      <c r="I109" s="111" t="str">
        <f>IF(ISBLANK(BG7),IF(MOD(A7,2),LOOKUP(E109,AK7:AO182),LOOKUP(E109,AU:AY)),IF(C27&gt;2,LOOKUP(E109,BE:BI),IF(C27=2,LOOKUP(E109,AU:AY),LOOKUP(E109,AK:AO))))</f>
        <v>2 Corinthians 1:12-22,</v>
      </c>
      <c r="J109" s="111" t="str">
        <f>IF(ISBLANK(BG7),IF(MOD(A7,2),LOOKUP(E109,AK7:AP182),LOOKUP(E109,AU:AZ)),IF(C27&gt;2,LOOKUP(E109,BE:BJ),IF(C27=2,LOOKUP(E109,AU:AZ),LOOKUP(E109,AK:AP))))</f>
        <v>2 Corinthians 1:23-2:17,</v>
      </c>
      <c r="K109" s="111" t="str">
        <f>IF(ISBLANK(BG7),IF(MOD(A7,2),LOOKUP(E109,AK7:AQ182),LOOKUP(E109,AU:BA)),IF(C27&gt;2,LOOKUP(E109,BE:BK),IF(C27=2,LOOKUP(E109,AU:BA),LOOKUP(E109,AK:AQ))))</f>
        <v>2 Corinthians 3:1-18,</v>
      </c>
      <c r="L109" s="111" t="str">
        <f>IF(ISBLANK(BG7),IF(MOD(A7,2),LOOKUP(E109,AK7:AR182),LOOKUP(E109,AU:BB)),IF(C27&gt;2,LOOKUP(E109,BE:BL),IF(C27=2,LOOKUP(E109,AU:BB),LOOKUP(E109,AK:AR))))</f>
        <v>2 Corinthians 4:1-12,</v>
      </c>
      <c r="M109" s="111" t="str">
        <f>IF(ISBLANK(BG7),IF(MOD(A7,2),LOOKUP(E109,AK7:AS182),LOOKUP(E109,AU:BC)),IF(C27&gt;2,LOOKUP(E109,BE:BM),IF(C27=2,LOOKUP(E109,AU:BC),LOOKUP(E109,AK:AS))))</f>
        <v>2 Corinthians 4:13-5:10,</v>
      </c>
      <c r="N109" s="251"/>
      <c r="O109" s="78"/>
      <c r="Z109" s="12"/>
      <c r="AK109" s="2">
        <v>102</v>
      </c>
      <c r="AL109" s="13" t="s">
        <v>2043</v>
      </c>
      <c r="AM109" s="284" t="s">
        <v>2044</v>
      </c>
      <c r="AN109" s="282" t="s">
        <v>2045</v>
      </c>
      <c r="AO109" s="283" t="s">
        <v>2046</v>
      </c>
      <c r="AP109" s="283" t="s">
        <v>2047</v>
      </c>
      <c r="AQ109" s="283" t="s">
        <v>2048</v>
      </c>
      <c r="AR109" s="283" t="s">
        <v>2049</v>
      </c>
      <c r="AS109" s="283" t="s">
        <v>2050</v>
      </c>
      <c r="AU109" s="2">
        <v>102</v>
      </c>
      <c r="AV109" s="13" t="s">
        <v>2043</v>
      </c>
      <c r="AW109" s="67" t="s">
        <v>2051</v>
      </c>
      <c r="AX109" s="66" t="s">
        <v>696</v>
      </c>
      <c r="AY109" s="67" t="s">
        <v>697</v>
      </c>
      <c r="AZ109" s="66" t="s">
        <v>698</v>
      </c>
      <c r="BA109" s="67" t="s">
        <v>286</v>
      </c>
      <c r="BB109" s="66" t="s">
        <v>287</v>
      </c>
      <c r="BC109" s="67" t="s">
        <v>2052</v>
      </c>
      <c r="BE109" s="2">
        <v>102</v>
      </c>
      <c r="BF109" s="13" t="s">
        <v>2043</v>
      </c>
      <c r="BG109" s="68" t="s">
        <v>2053</v>
      </c>
      <c r="BH109" s="69" t="s">
        <v>2054</v>
      </c>
      <c r="BI109" s="68" t="s">
        <v>2055</v>
      </c>
      <c r="BJ109" s="69" t="s">
        <v>2056</v>
      </c>
      <c r="BK109" s="69" t="s">
        <v>2057</v>
      </c>
      <c r="BL109" s="69" t="s">
        <v>2058</v>
      </c>
      <c r="BM109" s="69" t="s">
        <v>2059</v>
      </c>
    </row>
    <row r="110" spans="2:65" ht="12.75">
      <c r="B110" s="4"/>
      <c r="C110" s="279"/>
      <c r="D110" s="138"/>
      <c r="E110" s="73">
        <v>100</v>
      </c>
      <c r="F110" s="258"/>
      <c r="G110" s="199" t="str">
        <f>IF(ISBLANK(BG7),IF(MOD(A7,2),LOOKUP(E110,AK7:AM182),LOOKUP(E110,AU:AW)),IF(C27&gt;2,LOOKUP(E110,BE:BG),IF(C27=2,LOOKUP(E110,AU:AW),LOOKUP(E110,AK:AM))))</f>
        <v>Matthew 12:33-45</v>
      </c>
      <c r="H110" s="260" t="str">
        <f>IF(ISBLANK(BG7),IF(MOD(A7,2),LOOKUP(E110,AK7:AN182),LOOKUP(E110,AU:AX)),IF(C27&gt;2,LOOKUP(E110,BE:BH),IF(C27=2,LOOKUP(E110,AU:AX),LOOKUP(E110,AK:AN))))</f>
        <v>Luke 14:25-35</v>
      </c>
      <c r="I110" s="260" t="str">
        <f>IF(ISBLANK(BG7),IF(MOD(A7,2),LOOKUP(E110,AK7:AO182),LOOKUP(E110,AU:AY)),IF(C27&gt;2,LOOKUP(E110,BE:BI),IF(C27=2,LOOKUP(E110,AU:AY),LOOKUP(E110,AK:AO))))</f>
        <v>Luke 15:1-10</v>
      </c>
      <c r="J110" s="260" t="str">
        <f>IF(ISBLANK(BG7),IF(MOD(A7,2),LOOKUP(E110,AK7:AP182),LOOKUP(E110,AU:AZ)),IF(C27&gt;2,LOOKUP(E110,BE:BJ),IF(C27=2,LOOKUP(E110,AU:AZ),LOOKUP(E110,AK:AP))))</f>
        <v>Luke 15:1-2, 11-32</v>
      </c>
      <c r="K110" s="260" t="str">
        <f>IF(ISBLANK(BG7),IF(MOD(A7,2),LOOKUP(E110,AK7:AQ182),LOOKUP(E110,AU:BA)),IF(C27&gt;2,LOOKUP(E110,BE:BK),IF(C27=2,LOOKUP(E110,AU:BA),LOOKUP(E110,AK:AQ))))</f>
        <v>Luke 16:1-9</v>
      </c>
      <c r="L110" s="260" t="str">
        <f>IF(ISBLANK(BG7),IF(MOD(A7,2),LOOKUP(E110,AK7:AR182),LOOKUP(E110,AU:BB)),IF(C27&gt;2,LOOKUP(E110,BE:BL),IF(C27=2,LOOKUP(E110,AU:BB),LOOKUP(E110,AK:AR))))</f>
        <v>Luke 16:10-17 (18)</v>
      </c>
      <c r="M110" s="260" t="str">
        <f>IF(ISBLANK(BG7),IF(MOD(A7,2),LOOKUP(E110,AK7:AS182),LOOKUP(E110,AU:BC)),IF(C27&gt;2,LOOKUP(E110,BE:BM),IF(C27=2,LOOKUP(E110,AU:BC),LOOKUP(E110,AK:AS))))</f>
        <v>Luke 16:19-31</v>
      </c>
      <c r="N110" s="251"/>
      <c r="O110" s="78"/>
      <c r="Z110" s="12"/>
      <c r="AK110" s="2">
        <v>103</v>
      </c>
      <c r="AL110" s="13" t="s">
        <v>2060</v>
      </c>
      <c r="AM110" s="285" t="s">
        <v>2061</v>
      </c>
      <c r="AN110" s="288" t="s">
        <v>2062</v>
      </c>
      <c r="AO110" s="289" t="s">
        <v>2063</v>
      </c>
      <c r="AP110" s="289" t="s">
        <v>2064</v>
      </c>
      <c r="AQ110" s="289" t="s">
        <v>2065</v>
      </c>
      <c r="AR110" s="289" t="s">
        <v>1113</v>
      </c>
      <c r="AS110" s="289" t="s">
        <v>2066</v>
      </c>
      <c r="AU110" s="2">
        <v>103</v>
      </c>
      <c r="AV110" s="13" t="s">
        <v>2060</v>
      </c>
      <c r="AW110" s="67" t="s">
        <v>1816</v>
      </c>
      <c r="AX110" s="66" t="s">
        <v>2067</v>
      </c>
      <c r="AY110" s="67" t="s">
        <v>2068</v>
      </c>
      <c r="AZ110" s="66" t="s">
        <v>2069</v>
      </c>
      <c r="BA110" s="67" t="s">
        <v>2070</v>
      </c>
      <c r="BB110" s="66" t="s">
        <v>2071</v>
      </c>
      <c r="BC110" s="67" t="s">
        <v>2072</v>
      </c>
      <c r="BE110" s="2">
        <v>103</v>
      </c>
      <c r="BF110" s="13" t="s">
        <v>2060</v>
      </c>
      <c r="BG110" s="68" t="s">
        <v>2073</v>
      </c>
      <c r="BH110" s="69" t="s">
        <v>2074</v>
      </c>
      <c r="BI110" s="68" t="s">
        <v>2075</v>
      </c>
      <c r="BJ110" s="69" t="s">
        <v>2076</v>
      </c>
      <c r="BK110" s="69" t="s">
        <v>2077</v>
      </c>
      <c r="BL110" s="69" t="s">
        <v>2078</v>
      </c>
      <c r="BM110" s="69" t="s">
        <v>2079</v>
      </c>
    </row>
    <row r="111" spans="2:65" ht="12.75">
      <c r="B111" s="4"/>
      <c r="C111" s="279"/>
      <c r="D111" s="254">
        <f>B19+21</f>
        <v>41434</v>
      </c>
      <c r="E111" s="261">
        <v>101</v>
      </c>
      <c r="F111" s="262" t="s">
        <v>2080</v>
      </c>
      <c r="G111" s="107" t="str">
        <f>IF(ISBLANK(BG7),IF(MOD(A7,2),LOOKUP(E111,AK7:AM182),LOOKUP(E111,AU:AW)),IF(C27&gt;2,LOOKUP(E111,BE:BG),IF(C27=2,LOOKUP(E111,AU:AW),LOOKUP(E111,AK:AM))))</f>
        <v>Deuteronomy 11:1-12,</v>
      </c>
      <c r="H111" s="264" t="str">
        <f>IF(ISBLANK(BG7),IF(MOD(A7,2),LOOKUP(E111,AK7:AN182),LOOKUP(E111,AU:AX)),IF(C27&gt;2,LOOKUP(E111,BE:BH),IF(C27=2,LOOKUP(E111,AU:AX),LOOKUP(E111,AK:AN))))</f>
        <v>Deuteronomy 11:13-19,</v>
      </c>
      <c r="I111" s="264" t="str">
        <f>IF(ISBLANK(BG7),IF(MOD(A7,2),LOOKUP(E111,AK7:AO182),LOOKUP(E111,AU:AY)),IF(C27&gt;2,LOOKUP(E111,BE:BI),IF(C27=2,LOOKUP(E111,AU:AY),LOOKUP(E111,AK:AO))))</f>
        <v>Deuteronomy 12:1-12,</v>
      </c>
      <c r="J111" s="264" t="str">
        <f>IF(ISBLANK(BG7),IF(MOD(A7,2),LOOKUP(E111,AK7:AP182),LOOKUP(E111,AU:AZ)),IF(C27&gt;2,LOOKUP(E111,BE:BJ),IF(C27=2,LOOKUP(E111,AU:AZ),LOOKUP(E111,AK:AP))))</f>
        <v>Deuteronomy 13:1-11,</v>
      </c>
      <c r="K111" s="264" t="str">
        <f>IF(ISBLANK(BG7),IF(MOD(A7,2),LOOKUP(E111,AK7:AQ182),LOOKUP(E111,AU:BA)),IF(C27&gt;2,LOOKUP(E111,BE:BK),IF(C27=2,LOOKUP(E111,AU:BA),LOOKUP(E111,AK:AQ))))</f>
        <v>Deuteronomy 16:18-20, 17:14-20,</v>
      </c>
      <c r="L111" s="264" t="str">
        <f>IF(ISBLANK(BG7),IF(MOD(A7,2),LOOKUP(E111,AK7:AR182),LOOKUP(E111,AU:BB)),IF(C27&gt;2,LOOKUP(E111,BE:BL),IF(C27=2,LOOKUP(E111,AU:BB),LOOKUP(E111,AK:AR))))</f>
        <v>Deuteronomy 26:1-11,</v>
      </c>
      <c r="M111" s="264" t="str">
        <f>IF(ISBLANK(BG7),IF(MOD(A7,2),LOOKUP(E111,AK7:AS182),LOOKUP(E111,AU:BC)),IF(C27&gt;2,LOOKUP(E111,BE:BM),IF(C27=2,LOOKUP(E111,AU:BC),LOOKUP(E111,AK:AS))))</f>
        <v>Deuteronomy 29:2-15,</v>
      </c>
      <c r="N111" s="265" t="s">
        <v>2080</v>
      </c>
      <c r="O111" s="56">
        <f>D111</f>
        <v>41434</v>
      </c>
      <c r="Z111" s="12"/>
      <c r="AK111" s="2">
        <v>104</v>
      </c>
      <c r="AL111" s="245" t="s">
        <v>2081</v>
      </c>
      <c r="AM111" s="64" t="s">
        <v>2082</v>
      </c>
      <c r="AN111" s="64" t="s">
        <v>2083</v>
      </c>
      <c r="AO111" s="63" t="s">
        <v>2084</v>
      </c>
      <c r="AP111" s="64" t="s">
        <v>1720</v>
      </c>
      <c r="AQ111" s="89" t="s">
        <v>2085</v>
      </c>
      <c r="AR111" s="64" t="s">
        <v>2086</v>
      </c>
      <c r="AS111" s="144" t="s">
        <v>2087</v>
      </c>
      <c r="AU111" s="2">
        <v>104</v>
      </c>
      <c r="AV111" s="245" t="s">
        <v>2081</v>
      </c>
      <c r="AW111" s="91" t="s">
        <v>2088</v>
      </c>
      <c r="AX111" s="90" t="s">
        <v>2089</v>
      </c>
      <c r="AY111" s="91" t="s">
        <v>2090</v>
      </c>
      <c r="AZ111" s="90" t="s">
        <v>2091</v>
      </c>
      <c r="BA111" s="91" t="s">
        <v>2092</v>
      </c>
      <c r="BB111" s="90" t="s">
        <v>2093</v>
      </c>
      <c r="BC111" s="91" t="s">
        <v>2094</v>
      </c>
      <c r="BE111" s="2">
        <v>104</v>
      </c>
      <c r="BF111" s="245" t="s">
        <v>2081</v>
      </c>
      <c r="BG111" s="68" t="s">
        <v>2095</v>
      </c>
      <c r="BH111" s="69" t="s">
        <v>2096</v>
      </c>
      <c r="BI111" s="68" t="s">
        <v>2097</v>
      </c>
      <c r="BJ111" s="69" t="s">
        <v>2098</v>
      </c>
      <c r="BK111" s="69" t="s">
        <v>2099</v>
      </c>
      <c r="BL111" s="69" t="s">
        <v>2100</v>
      </c>
      <c r="BM111" s="69" t="s">
        <v>2101</v>
      </c>
    </row>
    <row r="112" spans="2:65" ht="12.75">
      <c r="B112" s="4"/>
      <c r="C112" s="279"/>
      <c r="D112" s="138"/>
      <c r="E112" s="73">
        <v>102</v>
      </c>
      <c r="F112" s="250"/>
      <c r="G112" s="255" t="str">
        <f>IF(ISBLANK(BG7),IF(MOD(A7,2),LOOKUP(E112,AK7:AM182),LOOKUP(E112,AU:AW)),IF(C27&gt;2,LOOKUP(E112,BE:BG),IF(C27=2,LOOKUP(E112,AU:AW),LOOKUP(E112,AK:AM))))</f>
        <v>Revelation 10:1-11,</v>
      </c>
      <c r="H112" s="111" t="str">
        <f>IF(ISBLANK(BG7),IF(MOD(A7,2),LOOKUP(E112,AK7:AN182),LOOKUP(E112,AU:AX)),IF(C27&gt;2,LOOKUP(E112,BE:BH),IF(C27=2,LOOKUP(E112,AU:AX),LOOKUP(E112,AK:AN))))</f>
        <v>2 Corinthians 5:11-6:2,</v>
      </c>
      <c r="I112" s="111" t="str">
        <f>IF(ISBLANK(BG7),IF(MOD(A7,2),LOOKUP(E112,AK7:AO182),LOOKUP(E112,AU:AY)),IF(C27&gt;2,LOOKUP(E112,BE:BI),IF(C27=2,LOOKUP(E112,AU:AY),LOOKUP(E112,AK:AO))))</f>
        <v>2 Corinthians 6:3-13 (14-7:1),</v>
      </c>
      <c r="J112" s="111" t="str">
        <f>IF(ISBLANK(BG7),IF(MOD(A7,2),LOOKUP(E112,AK7:AP182),LOOKUP(E112,AU:AZ)),IF(C27&gt;2,LOOKUP(E112,BE:BJ),IF(C27=2,LOOKUP(E112,AU:AZ),LOOKUP(E112,AK:AP))))</f>
        <v>2 Corinthians 7:2-16,</v>
      </c>
      <c r="K112" s="111" t="str">
        <f>IF(ISBLANK(BG7),IF(MOD(A7,2),LOOKUP(E112,AK7:AQ182),LOOKUP(E112,AU:BA)),IF(C27&gt;2,LOOKUP(E112,BE:BK),IF(C27=2,LOOKUP(E112,AU:BA),LOOKUP(E112,AK:AQ))))</f>
        <v>2 Corinthians 8:1-16,</v>
      </c>
      <c r="L112" s="111" t="str">
        <f>IF(ISBLANK(BG7),IF(MOD(A7,2),LOOKUP(E112,AK7:AR182),LOOKUP(E112,AU:BB)),IF(C27&gt;2,LOOKUP(E112,BE:BL),IF(C27=2,LOOKUP(E112,AU:BB),LOOKUP(E112,AK:AR))))</f>
        <v>2 Corinthians 8:16-24,</v>
      </c>
      <c r="M112" s="111" t="str">
        <f>IF(ISBLANK(BG7),IF(MOD(A7,2),LOOKUP(E112,AK7:AS182),LOOKUP(E112,AU:BC)),IF(C27&gt;2,LOOKUP(E112,BE:BM),IF(C27=2,LOOKUP(E112,AU:BC),LOOKUP(E112,AK:AS))))</f>
        <v>2 Corinthians 9:1-15,</v>
      </c>
      <c r="N112" s="251"/>
      <c r="O112" s="78"/>
      <c r="Z112" s="12"/>
      <c r="AK112" s="2">
        <v>105</v>
      </c>
      <c r="AL112" s="13" t="s">
        <v>2102</v>
      </c>
      <c r="AM112" s="64" t="s">
        <v>2103</v>
      </c>
      <c r="AN112" s="64" t="s">
        <v>1024</v>
      </c>
      <c r="AO112" s="63" t="s">
        <v>1025</v>
      </c>
      <c r="AP112" s="64" t="s">
        <v>1026</v>
      </c>
      <c r="AQ112" s="64" t="s">
        <v>1027</v>
      </c>
      <c r="AR112" s="64" t="s">
        <v>1028</v>
      </c>
      <c r="AS112" s="144" t="s">
        <v>1029</v>
      </c>
      <c r="AU112" s="2">
        <v>105</v>
      </c>
      <c r="AV112" s="13" t="s">
        <v>2102</v>
      </c>
      <c r="AW112" s="67" t="s">
        <v>2104</v>
      </c>
      <c r="AX112" s="66" t="s">
        <v>762</v>
      </c>
      <c r="AY112" s="67" t="s">
        <v>763</v>
      </c>
      <c r="AZ112" s="66" t="s">
        <v>764</v>
      </c>
      <c r="BA112" s="67" t="s">
        <v>765</v>
      </c>
      <c r="BB112" s="66" t="s">
        <v>766</v>
      </c>
      <c r="BC112" s="67" t="s">
        <v>826</v>
      </c>
      <c r="BE112" s="2">
        <v>105</v>
      </c>
      <c r="BF112" s="13" t="s">
        <v>2102</v>
      </c>
      <c r="BG112" s="68" t="s">
        <v>2105</v>
      </c>
      <c r="BH112" s="69" t="s">
        <v>2106</v>
      </c>
      <c r="BI112" s="68" t="s">
        <v>2107</v>
      </c>
      <c r="BJ112" s="69" t="s">
        <v>2108</v>
      </c>
      <c r="BK112" s="69" t="s">
        <v>2109</v>
      </c>
      <c r="BL112" s="69" t="s">
        <v>2110</v>
      </c>
      <c r="BM112" s="69" t="s">
        <v>2111</v>
      </c>
    </row>
    <row r="113" spans="2:65" ht="12.75">
      <c r="B113" s="4"/>
      <c r="C113" s="279"/>
      <c r="D113" s="256"/>
      <c r="E113" s="266">
        <v>103</v>
      </c>
      <c r="F113" s="258"/>
      <c r="G113" s="199" t="str">
        <f>IF(ISBLANK(BG7),IF(MOD(A7,2),LOOKUP(E113,AK7:AM182),LOOKUP(E113,AU:AW)),IF(C27&gt;2,LOOKUP(E113,BE:BG),IF(C27=2,LOOKUP(E113,AU:AW),LOOKUP(E113,AK:AM))))</f>
        <v>Matthew 13:44-58</v>
      </c>
      <c r="H113" s="260" t="str">
        <f>IF(ISBLANK(BG7),IF(MOD(A7,2),LOOKUP(E113,AK7:AN182),LOOKUP(E113,AU:AX)),IF(C27&gt;2,LOOKUP(E113,BE:BH),IF(C27=2,LOOKUP(E113,AU:AX),LOOKUP(E113,AK:AN))))</f>
        <v>Luke 17:1-10</v>
      </c>
      <c r="I113" s="260" t="str">
        <f>IF(ISBLANK(BG7),IF(MOD(A7,2),LOOKUP(E113,AK7:AO182),LOOKUP(E113,AU:AY)),IF(C27&gt;2,LOOKUP(E113,BE:BI),IF(C27=2,LOOKUP(E113,AU:AY),LOOKUP(E113,AK:AO))))</f>
        <v>Luke 17:11-19</v>
      </c>
      <c r="J113" s="260" t="str">
        <f>IF(ISBLANK(BG7),IF(MOD(A7,2),LOOKUP(E113,AK7:AP182),LOOKUP(E113,AU:AZ)),IF(C27&gt;2,LOOKUP(E113,BE:BJ),IF(C27=2,LOOKUP(E113,AU:AZ),LOOKUP(E113,AK:AP))))</f>
        <v>Luke 17:20-37</v>
      </c>
      <c r="K113" s="260" t="str">
        <f>IF(ISBLANK(BG7),IF(MOD(A7,2),LOOKUP(E113,AK7:AQ182),LOOKUP(E113,AU:BA)),IF(C27&gt;2,LOOKUP(E113,BE:BK),IF(C27=2,LOOKUP(E113,AU:BA),LOOKUP(E113,AK:AQ))))</f>
        <v>Luke 18:1-8</v>
      </c>
      <c r="L113" s="260" t="str">
        <f>IF(ISBLANK(BG7),IF(MOD(A7,2),LOOKUP(E113,AK7:AR182),LOOKUP(E113,AU:BB)),IF(C27&gt;2,LOOKUP(E113,BE:BL),IF(C27=2,LOOKUP(E113,AU:BB),LOOKUP(E113,AK:AR))))</f>
        <v>Luke 18:9-14</v>
      </c>
      <c r="M113" s="260" t="str">
        <f>IF(ISBLANK(BG7),IF(MOD(A7,2),LOOKUP(E113,AK7:AS182),LOOKUP(E113,AU:BC)),IF(C27&gt;2,LOOKUP(E113,BE:BM),IF(C27=2,LOOKUP(E113,AU:BC),LOOKUP(E113,AK:AS))))</f>
        <v>Luke 18:15-30</v>
      </c>
      <c r="N113" s="267"/>
      <c r="O113" s="99"/>
      <c r="Z113" s="12"/>
      <c r="AK113" s="2">
        <v>106</v>
      </c>
      <c r="AL113" s="248" t="s">
        <v>2112</v>
      </c>
      <c r="AM113" s="64" t="s">
        <v>2113</v>
      </c>
      <c r="AN113" s="64" t="s">
        <v>2114</v>
      </c>
      <c r="AO113" s="63" t="s">
        <v>2115</v>
      </c>
      <c r="AP113" s="64" t="s">
        <v>2116</v>
      </c>
      <c r="AQ113" s="102" t="s">
        <v>2117</v>
      </c>
      <c r="AR113" s="64" t="s">
        <v>1466</v>
      </c>
      <c r="AS113" s="144" t="s">
        <v>94</v>
      </c>
      <c r="AU113" s="2">
        <v>106</v>
      </c>
      <c r="AV113" s="248" t="s">
        <v>2112</v>
      </c>
      <c r="AW113" s="104" t="s">
        <v>2118</v>
      </c>
      <c r="AX113" s="103" t="s">
        <v>2119</v>
      </c>
      <c r="AY113" s="104" t="s">
        <v>2113</v>
      </c>
      <c r="AZ113" s="103" t="s">
        <v>2120</v>
      </c>
      <c r="BA113" s="104" t="s">
        <v>2121</v>
      </c>
      <c r="BB113" s="103" t="s">
        <v>2122</v>
      </c>
      <c r="BC113" s="104" t="s">
        <v>2123</v>
      </c>
      <c r="BE113" s="2">
        <v>106</v>
      </c>
      <c r="BF113" s="248" t="s">
        <v>2112</v>
      </c>
      <c r="BG113" s="68" t="s">
        <v>2124</v>
      </c>
      <c r="BH113" s="69" t="s">
        <v>2125</v>
      </c>
      <c r="BI113" s="68" t="s">
        <v>2126</v>
      </c>
      <c r="BJ113" s="69" t="s">
        <v>2127</v>
      </c>
      <c r="BK113" s="69" t="s">
        <v>2128</v>
      </c>
      <c r="BL113" s="69" t="s">
        <v>2129</v>
      </c>
      <c r="BM113" s="69" t="s">
        <v>2130</v>
      </c>
    </row>
    <row r="114" spans="2:65" ht="12.75">
      <c r="B114" s="4"/>
      <c r="C114" s="279"/>
      <c r="D114" s="138">
        <f>B19+28</f>
        <v>41441</v>
      </c>
      <c r="E114" s="73">
        <v>104</v>
      </c>
      <c r="F114" s="262" t="s">
        <v>2131</v>
      </c>
      <c r="G114" s="107" t="str">
        <f>IF(ISBLANK(BG7),IF(MOD(A7,2),LOOKUP(E114,AK7:AM182),LOOKUP(E114,AU:AW)),IF(C27&gt;2,LOOKUP(E114,BE:BG),IF(C27=2,LOOKUP(E114,AU:AW),LOOKUP(E114,AK:AM))))</f>
        <v>Deuteronomy 29:16-29,</v>
      </c>
      <c r="H114" s="264" t="str">
        <f>IF(ISBLANK(BG7),IF(MOD(A7,2),LOOKUP(E114,AK7:AN182),LOOKUP(E114,AU:AX)),IF(C27&gt;2,LOOKUP(E114,BE:BH),IF(C27=2,LOOKUP(E114,AU:AX),LOOKUP(E114,AK:AN))))</f>
        <v>Deuteronomy 30:1-10,</v>
      </c>
      <c r="I114" s="264" t="str">
        <f>IF(ISBLANK(BG7),IF(MOD(A7,2),LOOKUP(E114,AK7:AO182),LOOKUP(E114,AU:AY)),IF(C27&gt;2,LOOKUP(E114,BE:BI),IF(C27=2,LOOKUP(E114,AU:AY),LOOKUP(E114,AK:AO))))</f>
        <v>Deuteronomy 30:11-20,</v>
      </c>
      <c r="J114" s="264" t="str">
        <f>IF(ISBLANK(BG7),IF(MOD(A7,2),LOOKUP(E114,AK7:AP182),LOOKUP(E114,AU:AZ)),IF(C27&gt;2,LOOKUP(E114,BE:BJ),IF(C27=2,LOOKUP(E114,AU:AZ),LOOKUP(E114,AK:AP))))</f>
        <v>Deuteronomy 31:30-32:14,</v>
      </c>
      <c r="K114" s="264" t="str">
        <f>IF(ISBLANK(BG7),IF(MOD(A7,2),LOOKUP(E114,AK7:AQ182),LOOKUP(E114,AU:BA)),IF(C27&gt;2,LOOKUP(E114,BE:BK),IF(C27=2,LOOKUP(E114,AU:BA),LOOKUP(E114,AK:AQ))))</f>
        <v>Song of Solomon 1:1-3, 9-11, 15-16a; 2:1-3a,</v>
      </c>
      <c r="L114" s="264" t="str">
        <f>IF(ISBLANK(BG7),IF(MOD(A7,2),LOOKUP(E114,AK7:AR182),LOOKUP(E114,AU:BB)),IF(C27&gt;2,LOOKUP(E114,BE:BL),IF(C27=2,LOOKUP(E114,AU:BB),LOOKUP(E114,AK:AR))))</f>
        <v>Song of Solomon 2:8-13; 4:1-4a, 5-7,9-11,</v>
      </c>
      <c r="M114" s="264" t="str">
        <f>IF(ISBLANK(BG7),IF(MOD(A7,2),LOOKUP(E114,AK7:AS182),LOOKUP(E114,AU:BC)),IF(C27&gt;2,LOOKUP(E114,BE:BM),IF(C27=2,LOOKUP(E114,AU:BC),LOOKUP(E114,AK:AS))))</f>
        <v>Song of Solomon 5:10-16; 7:1-7a (9); 8:6-7, </v>
      </c>
      <c r="N114" s="251" t="s">
        <v>2131</v>
      </c>
      <c r="O114" s="109">
        <f>D114</f>
        <v>41441</v>
      </c>
      <c r="Z114" s="12"/>
      <c r="AK114" s="2">
        <v>107</v>
      </c>
      <c r="AL114" s="13" t="s">
        <v>2132</v>
      </c>
      <c r="AM114" s="89" t="s">
        <v>2133</v>
      </c>
      <c r="AN114" s="89" t="s">
        <v>2134</v>
      </c>
      <c r="AO114" s="88" t="s">
        <v>2135</v>
      </c>
      <c r="AP114" s="89" t="s">
        <v>2136</v>
      </c>
      <c r="AQ114" s="88" t="s">
        <v>2137</v>
      </c>
      <c r="AR114" s="89" t="s">
        <v>2138</v>
      </c>
      <c r="AS114" s="242" t="s">
        <v>2139</v>
      </c>
      <c r="AU114" s="2">
        <v>107</v>
      </c>
      <c r="AV114" s="13" t="s">
        <v>2132</v>
      </c>
      <c r="AW114" s="67" t="s">
        <v>2140</v>
      </c>
      <c r="AX114" s="66" t="s">
        <v>2141</v>
      </c>
      <c r="AY114" s="67" t="s">
        <v>2142</v>
      </c>
      <c r="AZ114" s="66" t="s">
        <v>2143</v>
      </c>
      <c r="BA114" s="67" t="s">
        <v>2144</v>
      </c>
      <c r="BB114" s="66" t="s">
        <v>2145</v>
      </c>
      <c r="BC114" s="67" t="s">
        <v>2146</v>
      </c>
      <c r="BE114" s="2">
        <v>107</v>
      </c>
      <c r="BF114" s="13" t="s">
        <v>2132</v>
      </c>
      <c r="BG114" s="68" t="s">
        <v>2147</v>
      </c>
      <c r="BH114" s="69" t="s">
        <v>2148</v>
      </c>
      <c r="BI114" s="68" t="s">
        <v>2149</v>
      </c>
      <c r="BJ114" s="69" t="s">
        <v>2150</v>
      </c>
      <c r="BK114" s="69" t="s">
        <v>2151</v>
      </c>
      <c r="BL114" s="69" t="s">
        <v>2152</v>
      </c>
      <c r="BM114" s="69" t="s">
        <v>2153</v>
      </c>
    </row>
    <row r="115" spans="2:65" ht="12.75">
      <c r="B115" s="4"/>
      <c r="C115" s="279"/>
      <c r="D115" s="138"/>
      <c r="E115" s="73">
        <v>105</v>
      </c>
      <c r="F115" s="250"/>
      <c r="G115" s="255" t="str">
        <f>IF(ISBLANK(BG7),IF(MOD(A7,2),LOOKUP(E115,AK7:AM182),LOOKUP(E115,AU:AW)),IF(C27&gt;2,LOOKUP(E115,BE:BG),IF(C27=2,LOOKUP(E115,AU:AW),LOOKUP(E115,AK:AM))))</f>
        <v>Revelation 12:1-12,</v>
      </c>
      <c r="H115" s="111" t="str">
        <f>IF(ISBLANK(BG7),IF(MOD(A7,2),LOOKUP(E115,AK7:AN182),LOOKUP(E115,AU:AX)),IF(C27&gt;2,LOOKUP(E115,BE:BH),IF(C27=2,LOOKUP(E115,AU:AX),LOOKUP(E115,AK:AN))))</f>
        <v>2 Corinthians 10:1-18,</v>
      </c>
      <c r="I115" s="111" t="str">
        <f>IF(ISBLANK(BG7),IF(MOD(A7,2),LOOKUP(E115,AK7:AO182),LOOKUP(E115,AU:AY)),IF(C27&gt;2,LOOKUP(E115,BE:BI),IF(C27=2,LOOKUP(E115,AU:AY),LOOKUP(E115,AK:AO))))</f>
        <v>2 Corinthians 11:1-21a,</v>
      </c>
      <c r="J115" s="111" t="str">
        <f>IF(ISBLANK(BG7),IF(MOD(A7,2),LOOKUP(E115,AK7:AP182),LOOKUP(E115,AU:AZ)),IF(C27&gt;2,LOOKUP(E115,BE:BJ),IF(C27=2,LOOKUP(E115,AU:AZ),LOOKUP(E115,AK:AP))))</f>
        <v>2 Corinthians 11:21b-33,</v>
      </c>
      <c r="K115" s="111" t="str">
        <f>IF(ISBLANK(BG7),IF(MOD(A7,2),LOOKUP(E115,AK7:AQ182),LOOKUP(E115,AU:BA)),IF(C27&gt;2,LOOKUP(E115,BE:BK),IF(C27=2,LOOKUP(E115,AU:BA),LOOKUP(E115,AK:AQ))))</f>
        <v>2 Corinthians 12:1-10,</v>
      </c>
      <c r="L115" s="111" t="str">
        <f>IF(ISBLANK(BG7),IF(MOD(A7,2),LOOKUP(E115,AK7:AR182),LOOKUP(E115,AU:BB)),IF(C27&gt;2,LOOKUP(E115,BE:BL),IF(C27=2,LOOKUP(E115,AU:BB),LOOKUP(E115,AK:AR))))</f>
        <v>2 Corinthians 12:11-21,</v>
      </c>
      <c r="M115" s="111" t="str">
        <f>IF(ISBLANK(BG7),IF(MOD(A7,2),LOOKUP(E115,AK7:AS182),LOOKUP(E115,AU:BC)),IF(C27&gt;2,LOOKUP(E115,BE:BM),IF(C27=2,LOOKUP(E115,AU:BC),LOOKUP(E115,AK:AS))))</f>
        <v>2 Corinthians 13:1-14,</v>
      </c>
      <c r="N115" s="251"/>
      <c r="O115" s="78"/>
      <c r="Z115" s="12"/>
      <c r="AK115" s="2">
        <v>108</v>
      </c>
      <c r="AL115" s="13" t="s">
        <v>2154</v>
      </c>
      <c r="AM115" s="64" t="s">
        <v>2155</v>
      </c>
      <c r="AN115" s="64" t="s">
        <v>2156</v>
      </c>
      <c r="AO115" s="63" t="s">
        <v>2157</v>
      </c>
      <c r="AP115" s="64" t="s">
        <v>2158</v>
      </c>
      <c r="AQ115" s="63" t="s">
        <v>2159</v>
      </c>
      <c r="AR115" s="64" t="s">
        <v>2160</v>
      </c>
      <c r="AS115" s="144" t="s">
        <v>2161</v>
      </c>
      <c r="AU115" s="2">
        <v>108</v>
      </c>
      <c r="AV115" s="13" t="s">
        <v>2154</v>
      </c>
      <c r="AW115" s="67" t="s">
        <v>2162</v>
      </c>
      <c r="AX115" s="66" t="s">
        <v>1209</v>
      </c>
      <c r="AY115" s="67" t="s">
        <v>1210</v>
      </c>
      <c r="AZ115" s="66" t="s">
        <v>2163</v>
      </c>
      <c r="BA115" s="67" t="s">
        <v>1212</v>
      </c>
      <c r="BB115" s="66" t="s">
        <v>2164</v>
      </c>
      <c r="BC115" s="67" t="s">
        <v>2165</v>
      </c>
      <c r="BE115" s="2">
        <v>108</v>
      </c>
      <c r="BF115" s="13" t="s">
        <v>2154</v>
      </c>
      <c r="BG115" s="68" t="s">
        <v>2166</v>
      </c>
      <c r="BH115" s="69" t="s">
        <v>2167</v>
      </c>
      <c r="BI115" s="68" t="s">
        <v>2168</v>
      </c>
      <c r="BJ115" s="69" t="s">
        <v>2169</v>
      </c>
      <c r="BK115" s="69" t="s">
        <v>2170</v>
      </c>
      <c r="BL115" s="69" t="s">
        <v>2171</v>
      </c>
      <c r="BM115" s="69" t="s">
        <v>2172</v>
      </c>
    </row>
    <row r="116" spans="2:65" ht="12.75">
      <c r="B116" s="4"/>
      <c r="C116" s="279"/>
      <c r="D116" s="138"/>
      <c r="E116" s="73">
        <v>106</v>
      </c>
      <c r="F116" s="258"/>
      <c r="G116" s="199" t="str">
        <f>IF(ISBLANK(BG7),IF(MOD(A7,2),LOOKUP(E116,AK7:AM182),LOOKUP(E116,AU:AW)),IF(C27&gt;2,LOOKUP(E116,BE:BG),IF(C27=2,LOOKUP(E116,AU:AW),LOOKUP(E116,AK:AM))))</f>
        <v>Matthew 15:29-39</v>
      </c>
      <c r="H116" s="260" t="str">
        <f>IF(ISBLANK(BG7),IF(MOD(A7,2),LOOKUP(E116,AK7:AN182),LOOKUP(E116,AU:AX)),IF(C27&gt;2,LOOKUP(E116,BE:BH),IF(C27=2,LOOKUP(E116,AU:AX),LOOKUP(E116,AK:AN))))</f>
        <v>Luke 18:31-43</v>
      </c>
      <c r="I116" s="260" t="str">
        <f>IF(ISBLANK(BG7),IF(MOD(A7,2),LOOKUP(E116,AK7:AO182),LOOKUP(E116,AU:AY)),IF(C27&gt;2,LOOKUP(E116,BE:BI),IF(C27=2,LOOKUP(E116,AU:AY),LOOKUP(E116,AK:AO))))</f>
        <v>luke 19:1-10</v>
      </c>
      <c r="J116" s="260" t="str">
        <f>IF(ISBLANK(BG7),IF(MOD(A7,2),LOOKUP(E116,AK7:AP182),LOOKUP(E116,AU:AZ)),IF(C27&gt;2,LOOKUP(E116,BE:BJ),IF(C27=2,LOOKUP(E116,AU:AZ),LOOKUP(E116,AK:AP))))</f>
        <v>Luke 19:11-27</v>
      </c>
      <c r="K116" s="260" t="str">
        <f>IF(ISBLANK(BG7),IF(MOD(A7,2),LOOKUP(E116,AK7:AQ182),LOOKUP(E116,AU:BA)),IF(C27&gt;2,LOOKUP(E116,BE:BK),IF(C27=2,LOOKUP(E116,AU:BA),LOOKUP(E116,AK:AQ))))</f>
        <v>Luke 19:28-40</v>
      </c>
      <c r="L116" s="260" t="str">
        <f>IF(ISBLANK(BG7),IF(MOD(A7,2),LOOKUP(E116,AK7:AR182),LOOKUP(E116,AU:BB)),IF(C27&gt;2,LOOKUP(E116,BE:BL),IF(C27=2,LOOKUP(E116,AU:BB),LOOKUP(E116,AK:AR))))</f>
        <v>Luke 19:41-48</v>
      </c>
      <c r="M116" s="260" t="str">
        <f>IF(ISBLANK(BG7),IF(MOD(A7,2),LOOKUP(E116,AK7:AS182),LOOKUP(E116,AU:BC)),IF(C27&gt;2,LOOKUP(E116,BE:BM),IF(C27=2,LOOKUP(E116,AU:BC),LOOKUP(E116,AK:AS))))</f>
        <v>Luke 20:1-8</v>
      </c>
      <c r="N116" s="251"/>
      <c r="O116" s="78"/>
      <c r="Z116" s="12"/>
      <c r="AK116" s="2">
        <v>109</v>
      </c>
      <c r="AL116" s="13" t="s">
        <v>2173</v>
      </c>
      <c r="AM116" s="102" t="s">
        <v>374</v>
      </c>
      <c r="AN116" s="102" t="s">
        <v>2174</v>
      </c>
      <c r="AO116" s="101" t="s">
        <v>96</v>
      </c>
      <c r="AP116" s="102" t="s">
        <v>97</v>
      </c>
      <c r="AQ116" s="101" t="s">
        <v>98</v>
      </c>
      <c r="AR116" s="102" t="s">
        <v>99</v>
      </c>
      <c r="AS116" s="249" t="s">
        <v>160</v>
      </c>
      <c r="AU116" s="2">
        <v>109</v>
      </c>
      <c r="AV116" s="13" t="s">
        <v>2173</v>
      </c>
      <c r="AW116" s="67" t="s">
        <v>2175</v>
      </c>
      <c r="AX116" s="66" t="s">
        <v>2176</v>
      </c>
      <c r="AY116" s="67" t="s">
        <v>2177</v>
      </c>
      <c r="AZ116" s="66" t="s">
        <v>2178</v>
      </c>
      <c r="BA116" s="67" t="s">
        <v>2179</v>
      </c>
      <c r="BB116" s="66" t="s">
        <v>2180</v>
      </c>
      <c r="BC116" s="67" t="s">
        <v>2181</v>
      </c>
      <c r="BE116" s="2">
        <v>109</v>
      </c>
      <c r="BF116" s="13" t="s">
        <v>2173</v>
      </c>
      <c r="BG116" s="68" t="s">
        <v>2182</v>
      </c>
      <c r="BH116" s="69" t="s">
        <v>2183</v>
      </c>
      <c r="BI116" s="68" t="s">
        <v>2184</v>
      </c>
      <c r="BJ116" s="69" t="s">
        <v>2185</v>
      </c>
      <c r="BK116" s="69" t="s">
        <v>2186</v>
      </c>
      <c r="BL116" s="69" t="s">
        <v>2187</v>
      </c>
      <c r="BM116" s="69" t="s">
        <v>2188</v>
      </c>
    </row>
    <row r="117" spans="2:65" ht="12.75">
      <c r="B117" s="4"/>
      <c r="C117" s="279"/>
      <c r="D117" s="254">
        <f>B19+35</f>
        <v>41448</v>
      </c>
      <c r="E117" s="261">
        <v>107</v>
      </c>
      <c r="F117" s="262" t="s">
        <v>2189</v>
      </c>
      <c r="G117" s="107" t="str">
        <f>IF(ISBLANK(BG7),IF(MOD(A7,2),LOOKUP(E117,AK7:AM182),LOOKUP(E117,AU:AW)),IF(C27&gt;2,LOOKUP(E117,BE:BG),IF(C27=2,LOOKUP(E117,AU:AW),LOOKUP(E117,AK:AM))))</f>
        <v>Exodus 6:2-13; 7:1-6,</v>
      </c>
      <c r="H117" s="264" t="str">
        <f>IF(ISBLANK(BG7),IF(MOD(A7,2),LOOKUP(E117,AK7:AN182),LOOKUP(E117,AU:AX)),IF(C27&gt;2,LOOKUP(E117,BE:BH),IF(C27=2,LOOKUP(E117,AU:AX),LOOKUP(E117,AK:AN))))</f>
        <v>1 Samuel 1:1-20,</v>
      </c>
      <c r="I117" s="264" t="str">
        <f>IF(ISBLANK(BG7),IF(MOD(A7,2),LOOKUP(E117,AK7:AO182),LOOKUP(E117,AU:AY)),IF(C27&gt;2,LOOKUP(E117,BE:BI),IF(C27=2,LOOKUP(E117,AU:AY),LOOKUP(E117,AK:AO))))</f>
        <v>1 Samuel 1:21-2:11,</v>
      </c>
      <c r="J117" s="264" t="str">
        <f>IF(ISBLANK(BG7),IF(MOD(A7,2),LOOKUP(E117,AK7:AP182),LOOKUP(E117,AU:AZ)),IF(C27&gt;2,LOOKUP(E117,BE:BJ),IF(C27=2,LOOKUP(E117,AU:AZ),LOOKUP(E117,AK:AP))))</f>
        <v>1 Samuel 2:12-26,</v>
      </c>
      <c r="K117" s="264" t="str">
        <f>IF(ISBLANK(BG7),IF(MOD(A7,2),LOOKUP(E117,AK7:AQ182),LOOKUP(E117,AU:BA)),IF(C27&gt;2,LOOKUP(E117,BE:BK),IF(C27=2,LOOKUP(E117,AU:BA),LOOKUP(E117,AK:AQ))))</f>
        <v>1 Samuel 2:27-36,</v>
      </c>
      <c r="L117" s="264" t="str">
        <f>IF(ISBLANK(BG7),IF(MOD(A7,2),LOOKUP(E117,AK7:AR182),LOOKUP(E117,AU:BB)),IF(C27&gt;2,LOOKUP(E117,BE:BL),IF(C27=2,LOOKUP(E117,AU:BB),LOOKUP(E117,AK:AR))))</f>
        <v>1 Samuel 3:1-21,</v>
      </c>
      <c r="M117" s="264" t="str">
        <f>IF(ISBLANK(BG7),IF(MOD(A7,2),LOOKUP(E117,AK7:AS182),LOOKUP(E117,AU:BC)),IF(C27&gt;2,LOOKUP(E117,BE:BM),IF(C27=2,LOOKUP(E117,AU:BC),LOOKUP(E117,AK:AS))))</f>
        <v>1 Samuel 4:1b-11,</v>
      </c>
      <c r="N117" s="265" t="s">
        <v>2189</v>
      </c>
      <c r="O117" s="56">
        <f>D117</f>
        <v>41448</v>
      </c>
      <c r="Z117" s="12"/>
      <c r="AK117" s="2">
        <v>110</v>
      </c>
      <c r="AL117" s="245" t="s">
        <v>2190</v>
      </c>
      <c r="AM117" s="64" t="s">
        <v>2191</v>
      </c>
      <c r="AN117" s="64" t="s">
        <v>2192</v>
      </c>
      <c r="AO117" s="63" t="s">
        <v>2193</v>
      </c>
      <c r="AP117" s="64" t="s">
        <v>2194</v>
      </c>
      <c r="AQ117" s="63" t="s">
        <v>2195</v>
      </c>
      <c r="AR117" s="64" t="s">
        <v>2196</v>
      </c>
      <c r="AS117" s="144" t="s">
        <v>2197</v>
      </c>
      <c r="AU117" s="2">
        <v>110</v>
      </c>
      <c r="AV117" s="245" t="s">
        <v>2190</v>
      </c>
      <c r="AW117" s="91" t="s">
        <v>2198</v>
      </c>
      <c r="AX117" s="90" t="s">
        <v>2199</v>
      </c>
      <c r="AY117" s="91" t="s">
        <v>2200</v>
      </c>
      <c r="AZ117" s="90" t="s">
        <v>2201</v>
      </c>
      <c r="BA117" s="91" t="s">
        <v>2202</v>
      </c>
      <c r="BB117" s="90" t="s">
        <v>2203</v>
      </c>
      <c r="BC117" s="91" t="s">
        <v>2204</v>
      </c>
      <c r="BE117" s="2">
        <v>110</v>
      </c>
      <c r="BF117" s="245" t="s">
        <v>2190</v>
      </c>
      <c r="BG117" s="68" t="s">
        <v>2205</v>
      </c>
      <c r="BH117" s="69" t="s">
        <v>2206</v>
      </c>
      <c r="BI117" s="68" t="s">
        <v>2207</v>
      </c>
      <c r="BJ117" s="69" t="s">
        <v>2208</v>
      </c>
      <c r="BK117" s="69" t="s">
        <v>2209</v>
      </c>
      <c r="BL117" s="69" t="s">
        <v>2210</v>
      </c>
      <c r="BM117" s="69" t="s">
        <v>2211</v>
      </c>
    </row>
    <row r="118" spans="2:65" ht="12.75">
      <c r="B118" s="4"/>
      <c r="C118" s="279"/>
      <c r="D118" s="138"/>
      <c r="E118" s="73">
        <v>108</v>
      </c>
      <c r="F118" s="250"/>
      <c r="G118" s="255" t="str">
        <f>IF(ISBLANK(BG7),IF(MOD(A7,2),LOOKUP(E118,AK7:AM182),LOOKUP(E118,AU:AW)),IF(C27&gt;2,LOOKUP(E118,BE:BG),IF(C27=2,LOOKUP(E118,AU:AW),LOOKUP(E118,AK:AM))))</f>
        <v>Revelation 15:1-8,</v>
      </c>
      <c r="H118" s="111" t="str">
        <f>IF(ISBLANK(BG7),IF(MOD(A7,2),LOOKUP(E118,AK7:AN182),LOOKUP(E118,AU:AX)),IF(C27&gt;2,LOOKUP(E118,BE:BH),IF(C27=2,LOOKUP(E118,AU:AX),LOOKUP(E118,AK:AN))))</f>
        <v>Acts 1:1-14,</v>
      </c>
      <c r="I118" s="111" t="str">
        <f>IF(ISBLANK(BG7),IF(MOD(A7,2),LOOKUP(E118,AK7:AO182),LOOKUP(E118,AU:AY)),IF(C27&gt;2,LOOKUP(E118,BE:BI),IF(C27=2,LOOKUP(E118,AU:AY),LOOKUP(E118,AK:AO))))</f>
        <v>Acts 1:15-26,</v>
      </c>
      <c r="J118" s="111" t="str">
        <f>IF(ISBLANK(BG7),IF(MOD(A7,2),LOOKUP(E118,AK7:AP182),LOOKUP(E118,AU:AZ)),IF(C27&gt;2,LOOKUP(E118,BE:BJ),IF(C27=2,LOOKUP(E118,AU:AZ),LOOKUP(E118,AK:AP))))</f>
        <v>Acts 2:1-21,</v>
      </c>
      <c r="K118" s="111" t="str">
        <f>IF(ISBLANK(BG7),IF(MOD(A7,2),LOOKUP(E118,AK7:AQ182),LOOKUP(E118,AU:BA)),IF(C27&gt;2,LOOKUP(E118,BE:BK),IF(C27=2,LOOKUP(E118,AU:BA),LOOKUP(E118,AK:AQ))))</f>
        <v>Acts 2:22-36,</v>
      </c>
      <c r="L118" s="111" t="str">
        <f>IF(ISBLANK(BG7),IF(MOD(A7,2),LOOKUP(E118,AK7:AR182),LOOKUP(E118,AU:BB)),IF(C27&gt;2,LOOKUP(E118,BE:BL),IF(C27=2,LOOKUP(E118,AU:BB),LOOKUP(E118,AK:AR))))</f>
        <v>Acts 2:37-47,</v>
      </c>
      <c r="M118" s="111" t="str">
        <f>IF(ISBLANK(BG7),IF(MOD(A7,2),LOOKUP(E118,AK7:AS182),LOOKUP(E118,AU:BC)),IF(C27&gt;2,LOOKUP(E118,BE:BM),IF(C27=2,LOOKUP(E118,AU:BC),LOOKUP(E118,AK:AS))))</f>
        <v>Acts 4:32-5:11,</v>
      </c>
      <c r="N118" s="251"/>
      <c r="O118" s="78"/>
      <c r="Z118" s="12"/>
      <c r="AK118" s="2">
        <v>111</v>
      </c>
      <c r="AL118" s="13" t="s">
        <v>2212</v>
      </c>
      <c r="AM118" s="64" t="s">
        <v>2213</v>
      </c>
      <c r="AN118" s="64" t="s">
        <v>2214</v>
      </c>
      <c r="AO118" s="63" t="s">
        <v>2215</v>
      </c>
      <c r="AP118" s="64" t="s">
        <v>2216</v>
      </c>
      <c r="AQ118" s="63" t="s">
        <v>2217</v>
      </c>
      <c r="AR118" s="64" t="s">
        <v>2218</v>
      </c>
      <c r="AS118" s="144" t="s">
        <v>2219</v>
      </c>
      <c r="AU118" s="2">
        <v>111</v>
      </c>
      <c r="AV118" s="13" t="s">
        <v>2212</v>
      </c>
      <c r="AW118" s="67" t="s">
        <v>2220</v>
      </c>
      <c r="AX118" s="66" t="s">
        <v>2221</v>
      </c>
      <c r="AY118" s="67" t="s">
        <v>1264</v>
      </c>
      <c r="AZ118" s="66" t="s">
        <v>1265</v>
      </c>
      <c r="BA118" s="67" t="s">
        <v>1266</v>
      </c>
      <c r="BB118" s="66" t="s">
        <v>1267</v>
      </c>
      <c r="BC118" s="67" t="s">
        <v>1268</v>
      </c>
      <c r="BE118" s="2">
        <v>111</v>
      </c>
      <c r="BF118" s="13" t="s">
        <v>2212</v>
      </c>
      <c r="BG118" s="68" t="s">
        <v>2222</v>
      </c>
      <c r="BH118" s="69" t="s">
        <v>2223</v>
      </c>
      <c r="BI118" s="68" t="s">
        <v>2224</v>
      </c>
      <c r="BJ118" s="69" t="s">
        <v>2225</v>
      </c>
      <c r="BK118" s="69" t="s">
        <v>2226</v>
      </c>
      <c r="BL118" s="69" t="s">
        <v>2227</v>
      </c>
      <c r="BM118" s="69" t="s">
        <v>2228</v>
      </c>
    </row>
    <row r="119" spans="2:65" ht="12.75">
      <c r="B119" s="4"/>
      <c r="C119" s="279"/>
      <c r="D119" s="256"/>
      <c r="E119" s="266">
        <v>109</v>
      </c>
      <c r="F119" s="258"/>
      <c r="G119" s="199" t="str">
        <f>IF(ISBLANK(BG7),IF(MOD(A7,2),LOOKUP(E119,AK7:AM182),LOOKUP(E119,AU:AW)),IF(C27&gt;2,LOOKUP(E119,BE:BG),IF(C27=2,LOOKUP(E119,AU:AW),LOOKUP(E119,AK:AM))))</f>
        <v>Matthew 18:1-14</v>
      </c>
      <c r="H119" s="260" t="str">
        <f>IF(ISBLANK(BG7),IF(MOD(A7,2),LOOKUP(E119,AK7:AN182),LOOKUP(E119,AU:AX)),IF(C27&gt;2,LOOKUP(E119,BE:BH),IF(C27=2,LOOKUP(E119,AU:AX),LOOKUP(E119,AK:AN))))</f>
        <v>Luke 20:9-19</v>
      </c>
      <c r="I119" s="260" t="str">
        <f>IF(ISBLANK(BG7),IF(MOD(A7,2),LOOKUP(E119,AK7:AO182),LOOKUP(E119,AU:AY)),IF(C27&gt;2,LOOKUP(E119,BE:BI),IF(C27=2,LOOKUP(E119,AU:AY),LOOKUP(E119,AK:AO))))</f>
        <v>Luke 20:19-26</v>
      </c>
      <c r="J119" s="260" t="str">
        <f>IF(ISBLANK(BG7),IF(MOD(A7,2),LOOKUP(E119,AK7:AP182),LOOKUP(E119,AU:AZ)),IF(C27&gt;2,LOOKUP(E119,BE:BJ),IF(C27=2,LOOKUP(E119,AU:AZ),LOOKUP(E119,AK:AP))))</f>
        <v>Luke 20:27-40</v>
      </c>
      <c r="K119" s="260" t="str">
        <f>IF(ISBLANK(BG7),IF(MOD(A7,2),LOOKUP(E119,AK7:AQ182),LOOKUP(E119,AU:BA)),IF(C27&gt;2,LOOKUP(E119,BE:BK),IF(C27=2,LOOKUP(E119,AU:BA),LOOKUP(E119,AK:AQ))))</f>
        <v>Luke 20:41-21:4</v>
      </c>
      <c r="L119" s="260" t="str">
        <f>IF(ISBLANK(BG7),IF(MOD(A7,2),LOOKUP(E119,AK7:AR182),LOOKUP(E119,AU:BB)),IF(C27&gt;2,LOOKUP(E119,BE:BL),IF(C27=2,LOOKUP(E119,AU:BB),LOOKUP(E119,AK:AR))))</f>
        <v>Luke 21:5-19</v>
      </c>
      <c r="M119" s="260" t="str">
        <f>IF(ISBLANK(BG7),IF(MOD(A7,2),LOOKUP(E119,AK7:AS182),LOOKUP(E119,AU:BC)),IF(C27&gt;2,LOOKUP(E119,BE:BM),IF(C27=2,LOOKUP(E119,AU:BC),LOOKUP(E119,AK:AS))))</f>
        <v>Luke 21:20-28</v>
      </c>
      <c r="N119" s="267"/>
      <c r="O119" s="99"/>
      <c r="Z119" s="12"/>
      <c r="AK119" s="2">
        <v>112</v>
      </c>
      <c r="AL119" s="248" t="s">
        <v>2229</v>
      </c>
      <c r="AM119" s="64" t="s">
        <v>2230</v>
      </c>
      <c r="AN119" s="64" t="s">
        <v>2231</v>
      </c>
      <c r="AO119" s="63" t="s">
        <v>2232</v>
      </c>
      <c r="AP119" s="64" t="s">
        <v>2233</v>
      </c>
      <c r="AQ119" s="63" t="s">
        <v>2234</v>
      </c>
      <c r="AR119" s="64" t="s">
        <v>165</v>
      </c>
      <c r="AS119" s="144" t="s">
        <v>2235</v>
      </c>
      <c r="AU119" s="2">
        <v>112</v>
      </c>
      <c r="AV119" s="248" t="s">
        <v>2229</v>
      </c>
      <c r="AW119" s="104" t="s">
        <v>2236</v>
      </c>
      <c r="AX119" s="103" t="s">
        <v>2237</v>
      </c>
      <c r="AY119" s="104" t="s">
        <v>2230</v>
      </c>
      <c r="AZ119" s="103" t="s">
        <v>2238</v>
      </c>
      <c r="BA119" s="104" t="s">
        <v>2239</v>
      </c>
      <c r="BB119" s="103" t="s">
        <v>2240</v>
      </c>
      <c r="BC119" s="104" t="s">
        <v>100</v>
      </c>
      <c r="BE119" s="2">
        <v>112</v>
      </c>
      <c r="BF119" s="248" t="s">
        <v>2229</v>
      </c>
      <c r="BG119" s="68" t="s">
        <v>2241</v>
      </c>
      <c r="BH119" s="69" t="s">
        <v>2242</v>
      </c>
      <c r="BI119" s="68" t="s">
        <v>2243</v>
      </c>
      <c r="BJ119" s="69" t="s">
        <v>2244</v>
      </c>
      <c r="BK119" s="69" t="s">
        <v>2245</v>
      </c>
      <c r="BL119" s="69" t="s">
        <v>2246</v>
      </c>
      <c r="BM119" s="69" t="s">
        <v>2247</v>
      </c>
    </row>
    <row r="120" spans="2:65" ht="12.75">
      <c r="B120" s="4"/>
      <c r="C120" s="279"/>
      <c r="D120" s="138">
        <f>B19+42</f>
        <v>41455</v>
      </c>
      <c r="E120" s="73">
        <v>110</v>
      </c>
      <c r="F120" s="262" t="s">
        <v>2248</v>
      </c>
      <c r="G120" s="107" t="str">
        <f>IF(ISBLANK(BG7),IF(MOD(A7,2),LOOKUP(E120,AK7:AM182),LOOKUP(E120,AU:AW)),IF(C27&gt;2,LOOKUP(E120,BE:BG),IF(C27=2,LOOKUP(E120,AU:AW),LOOKUP(E120,AK:AM))))</f>
        <v>1 Samuel 4:12-22,</v>
      </c>
      <c r="H120" s="264" t="str">
        <f>IF(ISBLANK(BG7),IF(MOD(A7,2),LOOKUP(E120,AK7:AN182),LOOKUP(E120,AU:AX)),IF(C27&gt;2,LOOKUP(E120,BE:BH),IF(C27=2,LOOKUP(E120,AU:AX),LOOKUP(E120,AK:AN))))</f>
        <v>1 Samuel 5:1-12,</v>
      </c>
      <c r="I120" s="264" t="str">
        <f>IF(ISBLANK(BG7),IF(MOD(A7,2),LOOKUP(E120,AK7:AO182),LOOKUP(E120,AU:AY)),IF(C27&gt;2,LOOKUP(E120,BE:BI),IF(C27=2,LOOKUP(E120,AU:AY),LOOKUP(E120,AK:AO))))</f>
        <v>1 Samuel 6:1-16,</v>
      </c>
      <c r="J120" s="264" t="str">
        <f>IF(ISBLANK(BG7),IF(MOD(A7,2),LOOKUP(E120,AK7:AP182),LOOKUP(E120,AU:AZ)),IF(C27&gt;2,LOOKUP(E120,BE:BJ),IF(C27=2,LOOKUP(E120,AU:AZ),LOOKUP(E120,AK:AP))))</f>
        <v>1 Samuel 7:2-17,</v>
      </c>
      <c r="K120" s="264" t="str">
        <f>IF(ISBLANK(BG7),IF(MOD(A7,2),LOOKUP(E120,AK7:AQ182),LOOKUP(E120,AU:BA)),IF(C27&gt;2,LOOKUP(E120,BE:BK),IF(C27=2,LOOKUP(E120,AU:BA),LOOKUP(E120,AK:AQ))))</f>
        <v>1 Samuel 8:1-22,</v>
      </c>
      <c r="L120" s="264" t="str">
        <f>IF(ISBLANK(BG7),IF(MOD(A7,2),LOOKUP(E120,AK7:AR182),LOOKUP(E120,AU:BB)),IF(C27&gt;2,LOOKUP(E120,BE:BL),IF(C27=2,LOOKUP(E120,AU:BB),LOOKUP(E120,AK:AR))))</f>
        <v>1 Samuel 9:1-14,</v>
      </c>
      <c r="M120" s="264" t="str">
        <f>IF(ISBLANK(BG7),IF(MOD(A7,2),LOOKUP(E120,AK7:AS182),LOOKUP(E120,AU:BC)),IF(C27&gt;2,LOOKUP(E120,BE:BM),IF(C27=2,LOOKUP(E120,AU:BC),LOOKUP(E120,AK:AS))))</f>
        <v>1 Samuel 9:15-10:1,</v>
      </c>
      <c r="N120" s="251" t="s">
        <v>2248</v>
      </c>
      <c r="O120" s="109">
        <f>D120</f>
        <v>41455</v>
      </c>
      <c r="Z120" s="12"/>
      <c r="AK120" s="2">
        <v>113</v>
      </c>
      <c r="AL120" s="13" t="s">
        <v>2249</v>
      </c>
      <c r="AM120" s="89" t="s">
        <v>2250</v>
      </c>
      <c r="AN120" s="89" t="s">
        <v>2251</v>
      </c>
      <c r="AO120" s="88" t="s">
        <v>2252</v>
      </c>
      <c r="AP120" s="89" t="s">
        <v>2253</v>
      </c>
      <c r="AQ120" s="88" t="s">
        <v>2254</v>
      </c>
      <c r="AR120" s="89" t="s">
        <v>2255</v>
      </c>
      <c r="AS120" s="242" t="s">
        <v>2256</v>
      </c>
      <c r="AU120" s="2">
        <v>113</v>
      </c>
      <c r="AV120" s="13" t="s">
        <v>2249</v>
      </c>
      <c r="AW120" s="67" t="s">
        <v>2257</v>
      </c>
      <c r="AX120" s="66" t="s">
        <v>2258</v>
      </c>
      <c r="AY120" s="67" t="s">
        <v>2259</v>
      </c>
      <c r="AZ120" s="66" t="s">
        <v>2260</v>
      </c>
      <c r="BA120" s="67" t="s">
        <v>2261</v>
      </c>
      <c r="BB120" s="66" t="s">
        <v>2262</v>
      </c>
      <c r="BC120" s="67" t="s">
        <v>2263</v>
      </c>
      <c r="BE120" s="2">
        <v>113</v>
      </c>
      <c r="BF120" s="13" t="s">
        <v>2249</v>
      </c>
      <c r="BG120" s="68" t="s">
        <v>2264</v>
      </c>
      <c r="BH120" s="69" t="s">
        <v>2265</v>
      </c>
      <c r="BI120" s="68" t="s">
        <v>2266</v>
      </c>
      <c r="BJ120" s="69" t="s">
        <v>2267</v>
      </c>
      <c r="BK120" s="69" t="s">
        <v>2268</v>
      </c>
      <c r="BL120" s="69" t="s">
        <v>2269</v>
      </c>
      <c r="BM120" s="69" t="s">
        <v>2270</v>
      </c>
    </row>
    <row r="121" spans="2:65" ht="12.75">
      <c r="B121" s="4"/>
      <c r="C121" s="279"/>
      <c r="D121" s="138"/>
      <c r="E121" s="73">
        <v>111</v>
      </c>
      <c r="F121" s="250"/>
      <c r="G121" s="255" t="str">
        <f>IF(ISBLANK(BG7),IF(MOD(A7,2),LOOKUP(E121,AK7:AM182),LOOKUP(E121,AU:AW)),IF(C27&gt;2,LOOKUP(E121,BE:BG),IF(C27=2,LOOKUP(E121,AU:AW),LOOKUP(E121,AK:AM))))</f>
        <v>James 1:1-18,</v>
      </c>
      <c r="H121" s="111" t="str">
        <f>IF(ISBLANK(BG7),IF(MOD(A7,2),LOOKUP(E121,AK7:AN182),LOOKUP(E121,AU:AX)),IF(C27&gt;2,LOOKUP(E121,BE:BH),IF(C27=2,LOOKUP(E121,AU:AX),LOOKUP(E121,AK:AN))))</f>
        <v>Acts 4:12-26,</v>
      </c>
      <c r="I121" s="111" t="str">
        <f>IF(ISBLANK(BG7),IF(MOD(A7,2),LOOKUP(E121,AK7:AO182),LOOKUP(E121,AU:AY)),IF(C27&gt;2,LOOKUP(E121,BE:BI),IF(C27=2,LOOKUP(E121,AU:AY),LOOKUP(E121,AK:AO))))</f>
        <v>Acts 5:27-42,</v>
      </c>
      <c r="J121" s="111" t="str">
        <f>IF(ISBLANK(BG7),IF(MOD(A7,2),LOOKUP(E121,AK7:AP182),LOOKUP(E121,AU:AZ)),IF(C27&gt;2,LOOKUP(E121,BE:BJ),IF(C27=2,LOOKUP(E121,AU:AZ),LOOKUP(E121,AK:AP))))</f>
        <v>Acts 6:1-15,</v>
      </c>
      <c r="K121" s="111" t="str">
        <f>IF(ISBLANK(BG7),IF(MOD(A7,2),LOOKUP(E121,AK7:AQ182),LOOKUP(E121,AU:BA)),IF(C27&gt;2,LOOKUP(E121,BE:BK),IF(C27=2,LOOKUP(E121,AU:BA),LOOKUP(E121,AK:AQ))))</f>
        <v>Acts 6:15-7:16,</v>
      </c>
      <c r="L121" s="111" t="str">
        <f>IF(ISBLANK(BG7),IF(MOD(A7,2),LOOKUP(E121,AK7:AR182),LOOKUP(E121,AU:BB)),IF(C27&gt;2,LOOKUP(E121,BE:BL),IF(C27=2,LOOKUP(E121,AU:BB),LOOKUP(E121,AK:AR))))</f>
        <v>Acts 7:17-29,</v>
      </c>
      <c r="M121" s="111" t="str">
        <f>IF(ISBLANK(BG7),IF(MOD(A7,2),LOOKUP(E121,AK7:AS182),LOOKUP(E121,AU:BC)),IF(C27&gt;2,LOOKUP(E121,BE:BM),IF(C27=2,LOOKUP(E121,AU:BC),LOOKUP(E121,AK:AS))))</f>
        <v>Acts 7:30-43,</v>
      </c>
      <c r="N121" s="251"/>
      <c r="O121" s="78"/>
      <c r="Z121" s="12"/>
      <c r="AK121" s="2">
        <v>114</v>
      </c>
      <c r="AL121" s="13" t="s">
        <v>2271</v>
      </c>
      <c r="AM121" s="64" t="s">
        <v>1265</v>
      </c>
      <c r="AN121" s="64" t="s">
        <v>2272</v>
      </c>
      <c r="AO121" s="63" t="s">
        <v>2273</v>
      </c>
      <c r="AP121" s="64" t="s">
        <v>1989</v>
      </c>
      <c r="AQ121" s="63" t="s">
        <v>2051</v>
      </c>
      <c r="AR121" s="64" t="s">
        <v>2274</v>
      </c>
      <c r="AS121" s="144" t="s">
        <v>2275</v>
      </c>
      <c r="AU121" s="2">
        <v>114</v>
      </c>
      <c r="AV121" s="13" t="s">
        <v>2271</v>
      </c>
      <c r="AW121" s="67" t="s">
        <v>2276</v>
      </c>
      <c r="AX121" s="66" t="s">
        <v>1269</v>
      </c>
      <c r="AY121" s="67" t="s">
        <v>1317</v>
      </c>
      <c r="AZ121" s="66" t="s">
        <v>1318</v>
      </c>
      <c r="BA121" s="67" t="s">
        <v>1319</v>
      </c>
      <c r="BB121" s="66" t="s">
        <v>2277</v>
      </c>
      <c r="BC121" s="67" t="s">
        <v>2278</v>
      </c>
      <c r="BE121" s="2">
        <v>114</v>
      </c>
      <c r="BF121" s="13" t="s">
        <v>2271</v>
      </c>
      <c r="BG121" s="68" t="s">
        <v>2279</v>
      </c>
      <c r="BH121" s="69" t="s">
        <v>2280</v>
      </c>
      <c r="BI121" s="68" t="s">
        <v>2281</v>
      </c>
      <c r="BJ121" s="69" t="s">
        <v>2282</v>
      </c>
      <c r="BK121" s="69" t="s">
        <v>2283</v>
      </c>
      <c r="BL121" s="69" t="s">
        <v>2284</v>
      </c>
      <c r="BM121" s="69" t="s">
        <v>2285</v>
      </c>
    </row>
    <row r="122" spans="2:65" ht="12.75">
      <c r="B122" s="4"/>
      <c r="C122" s="279"/>
      <c r="D122" s="138"/>
      <c r="E122" s="73">
        <v>112</v>
      </c>
      <c r="F122" s="258"/>
      <c r="G122" s="199" t="str">
        <f>IF(ISBLANK(BG7),IF(MOD(A7,2),LOOKUP(E122,AK7:AM182),LOOKUP(E122,AU:AW)),IF(C27&gt;2,LOOKUP(E122,BE:BG),IF(C27=2,LOOKUP(E122,AU:AW),LOOKUP(E122,AK:AM))))</f>
        <v>Matthew 19:23-30</v>
      </c>
      <c r="H122" s="260" t="str">
        <f>IF(ISBLANK(BG7),IF(MOD(A7,2),LOOKUP(E122,AK7:AN182),LOOKUP(E122,AU:AX)),IF(C27&gt;2,LOOKUP(E122,BE:BH),IF(C27=2,LOOKUP(E122,AU:AX),LOOKUP(E122,AK:AN))))</f>
        <v>Luke 21:29-36</v>
      </c>
      <c r="I122" s="260" t="str">
        <f>IF(ISBLANK(BG7),IF(MOD(A7,2),LOOKUP(E122,AK7:AO182),LOOKUP(E122,AU:AY)),IF(C27&gt;2,LOOKUP(E122,BE:BI),IF(C27=2,LOOKUP(E122,AU:AY),LOOKUP(E122,AK:AO))))</f>
        <v>Luke 21:37-22:13</v>
      </c>
      <c r="J122" s="260" t="str">
        <f>IF(ISBLANK(BG7),IF(MOD(A7,2),LOOKUP(E122,AK7:AP182),LOOKUP(E122,AU:AZ)),IF(C27&gt;2,LOOKUP(E122,BE:BJ),IF(C27=2,LOOKUP(E122,AU:AZ),LOOKUP(E122,AK:AP))))</f>
        <v>Luke 22:14-23</v>
      </c>
      <c r="K122" s="260" t="str">
        <f>IF(ISBLANK(BG7),IF(MOD(A7,2),LOOKUP(E122,AK7:AQ182),LOOKUP(E122,AU:BA)),IF(C27&gt;2,LOOKUP(E122,BE:BK),IF(C27=2,LOOKUP(E122,AU:BA),LOOKUP(E122,AK:AQ))))</f>
        <v>Luke 22:24-30</v>
      </c>
      <c r="L122" s="260" t="str">
        <f>IF(ISBLANK(BG7),IF(MOD(A7,2),LOOKUP(E122,AK7:AR182),LOOKUP(E122,AU:BB)),IF(C27&gt;2,LOOKUP(E122,BE:BL),IF(C27=2,LOOKUP(E122,AU:BB),LOOKUP(E122,AK:AR))))</f>
        <v>Luke 22:31-38</v>
      </c>
      <c r="M122" s="260" t="str">
        <f>IF(ISBLANK(BG7),IF(MOD(A7,2),LOOKUP(E122,AK7:AS182),LOOKUP(E122,AU:BC)),IF(C27&gt;2,LOOKUP(E122,BE:BM),IF(C27=2,LOOKUP(E122,AU:BC),LOOKUP(E122,AK:AS))))</f>
        <v>Luke 22:39-51</v>
      </c>
      <c r="N122" s="251"/>
      <c r="O122" s="78"/>
      <c r="Z122" s="12"/>
      <c r="AK122" s="2">
        <v>115</v>
      </c>
      <c r="AL122" s="13" t="s">
        <v>2286</v>
      </c>
      <c r="AM122" s="102" t="s">
        <v>102</v>
      </c>
      <c r="AN122" s="102" t="s">
        <v>2287</v>
      </c>
      <c r="AO122" s="101" t="s">
        <v>2288</v>
      </c>
      <c r="AP122" s="102" t="s">
        <v>2289</v>
      </c>
      <c r="AQ122" s="101" t="s">
        <v>2290</v>
      </c>
      <c r="AR122" s="102" t="s">
        <v>2291</v>
      </c>
      <c r="AS122" s="249" t="s">
        <v>2292</v>
      </c>
      <c r="AU122" s="2">
        <v>115</v>
      </c>
      <c r="AV122" s="13" t="s">
        <v>2286</v>
      </c>
      <c r="AW122" s="67" t="s">
        <v>2293</v>
      </c>
      <c r="AX122" s="66" t="s">
        <v>101</v>
      </c>
      <c r="AY122" s="67" t="s">
        <v>102</v>
      </c>
      <c r="AZ122" s="66" t="s">
        <v>103</v>
      </c>
      <c r="BA122" s="67" t="s">
        <v>104</v>
      </c>
      <c r="BB122" s="66" t="s">
        <v>105</v>
      </c>
      <c r="BC122" s="67" t="s">
        <v>2294</v>
      </c>
      <c r="BE122" s="2">
        <v>115</v>
      </c>
      <c r="BF122" s="13" t="s">
        <v>2286</v>
      </c>
      <c r="BG122" s="68" t="s">
        <v>2295</v>
      </c>
      <c r="BH122" s="69" t="s">
        <v>2296</v>
      </c>
      <c r="BI122" s="68" t="s">
        <v>2297</v>
      </c>
      <c r="BJ122" s="69" t="s">
        <v>2298</v>
      </c>
      <c r="BK122" s="69" t="s">
        <v>2299</v>
      </c>
      <c r="BL122" s="69" t="s">
        <v>2300</v>
      </c>
      <c r="BM122" s="69" t="s">
        <v>2301</v>
      </c>
    </row>
    <row r="123" spans="2:65" ht="12.75">
      <c r="B123" s="4"/>
      <c r="C123" s="279"/>
      <c r="D123" s="254">
        <f>B19+49</f>
        <v>41462</v>
      </c>
      <c r="E123" s="261">
        <v>113</v>
      </c>
      <c r="F123" s="262" t="s">
        <v>2302</v>
      </c>
      <c r="G123" s="107" t="str">
        <f>IF(ISBLANK(BG7),IF(MOD(A7,2),LOOKUP(E123,AK7:AM182),LOOKUP(E123,AU:AW)),IF(C27&gt;2,LOOKUP(E123,BE:BG),IF(C27=2,LOOKUP(E123,AU:AW),LOOKUP(E123,AK:AM))))</f>
        <v>1 Samuel 10:1-16,</v>
      </c>
      <c r="H123" s="264" t="str">
        <f>IF(ISBLANK(BG7),IF(MOD(A7,2),LOOKUP(E123,AK7:AN182),LOOKUP(E123,AU:AX)),IF(C27&gt;2,LOOKUP(E123,BE:BH),IF(C27=2,LOOKUP(E123,AU:AX),LOOKUP(E123,AK:AN))))</f>
        <v>1 Samuel 10:17-27,</v>
      </c>
      <c r="I123" s="264" t="str">
        <f>IF(ISBLANK(BG7),IF(MOD(A7,2),LOOKUP(E123,AK7:AO182),LOOKUP(E123,AU:AY)),IF(C27&gt;2,LOOKUP(E123,BE:BI),IF(C27=2,LOOKUP(E123,AU:AY),LOOKUP(E123,AK:AO))))</f>
        <v>1 Samuel 11:1-15,</v>
      </c>
      <c r="J123" s="264" t="str">
        <f>IF(ISBLANK(BG7),IF(MOD(A7,2),LOOKUP(E123,AK7:AP182),LOOKUP(E123,AU:AZ)),IF(C27&gt;2,LOOKUP(E123,BE:BJ),IF(C27=2,LOOKUP(E123,AU:AZ),LOOKUP(E123,AK:AP))))</f>
        <v>1 Samuel 12:1-6 (7-15) 16-25,</v>
      </c>
      <c r="K123" s="264" t="str">
        <f>IF(ISBLANK(BG7),IF(MOD(A7,2),LOOKUP(E123,AK7:AQ182),LOOKUP(E123,AU:BA)),IF(C27&gt;2,LOOKUP(E123,BE:BK),IF(C27=2,LOOKUP(E123,AU:BA),LOOKUP(E123,AK:AQ))))</f>
        <v>1 Samuel 13:5-18,</v>
      </c>
      <c r="L123" s="264" t="str">
        <f>IF(ISBLANK(BG7),IF(MOD(A7,2),LOOKUP(E123,AK7:AR182),LOOKUP(E123,AU:BB)),IF(C27&gt;2,LOOKUP(E123,BE:BL),IF(C27=2,LOOKUP(E123,AU:BB),LOOKUP(E123,AK:AR))))</f>
        <v>1 Samuel 13:19-14:15,</v>
      </c>
      <c r="M123" s="264" t="str">
        <f>IF(ISBLANK(BG7),IF(MOD(A7,2),LOOKUP(E123,AK7:AS182),LOOKUP(E123,AU:BC)),IF(C27&gt;2,LOOKUP(E123,BE:BM),IF(C27=2,LOOKUP(E123,AU:BC),LOOKUP(E123,AK:AS))))</f>
        <v>1  Samuel 14:16-30,</v>
      </c>
      <c r="N123" s="265" t="s">
        <v>2302</v>
      </c>
      <c r="O123" s="56">
        <f>D123</f>
        <v>41462</v>
      </c>
      <c r="Z123" s="12"/>
      <c r="AK123" s="2">
        <v>116</v>
      </c>
      <c r="AL123" s="245" t="s">
        <v>2303</v>
      </c>
      <c r="AM123" s="64" t="s">
        <v>2304</v>
      </c>
      <c r="AN123" s="64" t="s">
        <v>2305</v>
      </c>
      <c r="AO123" s="63" t="s">
        <v>2306</v>
      </c>
      <c r="AP123" s="64" t="s">
        <v>2307</v>
      </c>
      <c r="AQ123" s="63" t="s">
        <v>2308</v>
      </c>
      <c r="AR123" s="64" t="s">
        <v>2309</v>
      </c>
      <c r="AS123" s="144" t="s">
        <v>2310</v>
      </c>
      <c r="AU123" s="2">
        <v>116</v>
      </c>
      <c r="AV123" s="245" t="s">
        <v>2303</v>
      </c>
      <c r="AW123" s="91" t="s">
        <v>2311</v>
      </c>
      <c r="AX123" s="90" t="s">
        <v>2312</v>
      </c>
      <c r="AY123" s="91" t="s">
        <v>2313</v>
      </c>
      <c r="AZ123" s="90" t="s">
        <v>2314</v>
      </c>
      <c r="BA123" s="91" t="s">
        <v>2315</v>
      </c>
      <c r="BB123" s="90" t="s">
        <v>2316</v>
      </c>
      <c r="BC123" s="91" t="s">
        <v>2317</v>
      </c>
      <c r="BE123" s="2">
        <v>116</v>
      </c>
      <c r="BF123" s="245" t="s">
        <v>2303</v>
      </c>
      <c r="BG123" s="68" t="s">
        <v>2318</v>
      </c>
      <c r="BH123" s="69" t="s">
        <v>2319</v>
      </c>
      <c r="BI123" s="68" t="s">
        <v>2320</v>
      </c>
      <c r="BJ123" s="69" t="s">
        <v>2321</v>
      </c>
      <c r="BK123" s="69" t="s">
        <v>2322</v>
      </c>
      <c r="BL123" s="69" t="s">
        <v>2323</v>
      </c>
      <c r="BM123" s="69" t="s">
        <v>2324</v>
      </c>
    </row>
    <row r="124" spans="2:65" ht="12.75">
      <c r="B124" s="4"/>
      <c r="C124" s="279"/>
      <c r="D124" s="138"/>
      <c r="E124" s="73">
        <v>114</v>
      </c>
      <c r="F124" s="250"/>
      <c r="G124" s="255" t="str">
        <f>IF(ISBLANK(BG7),IF(MOD(A7,2),LOOKUP(E124,AK7:AM182),LOOKUP(E124,AU:AW)),IF(C27&gt;2,LOOKUP(E124,BE:BG),IF(C27=2,LOOKUP(E124,AU:AW),LOOKUP(E124,AK:AM))))</f>
        <v>Romans 4:13-25,</v>
      </c>
      <c r="H124" s="111" t="str">
        <f>IF(ISBLANK(BG7),IF(MOD(A7,2),LOOKUP(E124,AK7:AN182),LOOKUP(E124,AU:AX)),IF(C27&gt;2,LOOKUP(E124,BE:BH),IF(C27=2,LOOKUP(E124,AU:AX),LOOKUP(E124,AK:AN))))</f>
        <v>Acts 7:44-8:1a,</v>
      </c>
      <c r="I124" s="111" t="str">
        <f>IF(ISBLANK(BG7),IF(MOD(A7,2),LOOKUP(E124,AK7:AO182),LOOKUP(E124,AU:AY)),IF(C27&gt;2,LOOKUP(E124,BE:BI),IF(C27=2,LOOKUP(E124,AU:AY),LOOKUP(E124,AK:AO))))</f>
        <v>Acts 8:1b-13,</v>
      </c>
      <c r="J124" s="111" t="str">
        <f>IF(ISBLANK(BG7),IF(MOD(A7,2),LOOKUP(E124,AK7:AP182),LOOKUP(E124,AU:AZ)),IF(C27&gt;2,LOOKUP(E124,BE:BJ),IF(C27=2,LOOKUP(E124,AU:AZ),LOOKUP(E124,AK:AP))))</f>
        <v>Acts 8:14-25,</v>
      </c>
      <c r="K124" s="111" t="str">
        <f>IF(ISBLANK(BG7),IF(MOD(A7,2),LOOKUP(E124,AK7:AQ182),LOOKUP(E124,AU:BA)),IF(C27&gt;2,LOOKUP(E124,BE:BK),IF(C27=2,LOOKUP(E124,AU:BA),LOOKUP(E124,AK:AQ))))</f>
        <v>Acts 8:26-40,</v>
      </c>
      <c r="L124" s="111" t="str">
        <f>IF(ISBLANK(BG7),IF(MOD(A7,2),LOOKUP(E124,AK7:AR182),LOOKUP(E124,AU:BB)),IF(C27&gt;2,LOOKUP(E124,BE:BL),IF(C27=2,LOOKUP(E124,AU:BB),LOOKUP(E124,AK:AR))))</f>
        <v>Acts 9:1-9,</v>
      </c>
      <c r="M124" s="111" t="str">
        <f>IF(ISBLANK(BG7),IF(MOD(A7,2),LOOKUP(E124,AK7:AS182),LOOKUP(E124,AU:BC)),IF(C27&gt;2,LOOKUP(E124,BE:BM),IF(C27=2,LOOKUP(E124,AU:BC),LOOKUP(E124,AK:AS))))</f>
        <v>Acts 9:10-19a,</v>
      </c>
      <c r="N124" s="251"/>
      <c r="O124" s="78"/>
      <c r="Z124" s="12"/>
      <c r="AK124" s="2">
        <v>117</v>
      </c>
      <c r="AL124" s="13" t="s">
        <v>2325</v>
      </c>
      <c r="AM124" s="64" t="s">
        <v>1266</v>
      </c>
      <c r="AN124" s="64" t="s">
        <v>2326</v>
      </c>
      <c r="AO124" s="63" t="s">
        <v>2327</v>
      </c>
      <c r="AP124" s="64" t="s">
        <v>2328</v>
      </c>
      <c r="AQ124" s="63" t="s">
        <v>2329</v>
      </c>
      <c r="AR124" s="64" t="s">
        <v>2330</v>
      </c>
      <c r="AS124" s="144" t="s">
        <v>2331</v>
      </c>
      <c r="AU124" s="2">
        <v>117</v>
      </c>
      <c r="AV124" s="13" t="s">
        <v>2325</v>
      </c>
      <c r="AW124" s="67" t="s">
        <v>2332</v>
      </c>
      <c r="AX124" s="66" t="s">
        <v>2333</v>
      </c>
      <c r="AY124" s="67" t="s">
        <v>2334</v>
      </c>
      <c r="AZ124" s="66" t="s">
        <v>1322</v>
      </c>
      <c r="BA124" s="67" t="s">
        <v>1372</v>
      </c>
      <c r="BB124" s="66" t="s">
        <v>1373</v>
      </c>
      <c r="BC124" s="67" t="s">
        <v>1374</v>
      </c>
      <c r="BE124" s="2">
        <v>117</v>
      </c>
      <c r="BF124" s="13" t="s">
        <v>2325</v>
      </c>
      <c r="BG124" s="68" t="s">
        <v>2335</v>
      </c>
      <c r="BH124" s="69" t="s">
        <v>2336</v>
      </c>
      <c r="BI124" s="68" t="s">
        <v>2337</v>
      </c>
      <c r="BJ124" s="69" t="s">
        <v>2338</v>
      </c>
      <c r="BK124" s="69" t="s">
        <v>2339</v>
      </c>
      <c r="BL124" s="69" t="s">
        <v>2340</v>
      </c>
      <c r="BM124" s="69" t="s">
        <v>2341</v>
      </c>
    </row>
    <row r="125" spans="2:65" ht="12.75">
      <c r="B125" s="4"/>
      <c r="C125" s="4"/>
      <c r="D125" s="256"/>
      <c r="E125" s="266">
        <v>115</v>
      </c>
      <c r="F125" s="258"/>
      <c r="G125" s="199" t="str">
        <f>IF(ISBLANK(BG7),IF(MOD(A7,2),LOOKUP(E125,AK7:AM182),LOOKUP(E125,AU:AW)),IF(C27&gt;2,LOOKUP(E125,BE:BG),IF(C27=2,LOOKUP(E125,AU:AW),LOOKUP(E125,AK:AM))))</f>
        <v>Matthew 21:23-32</v>
      </c>
      <c r="H125" s="260" t="str">
        <f>IF(ISBLANK(BG7),IF(MOD(A7,2),LOOKUP(E125,AK7:AN182),LOOKUP(E125,AU:AX)),IF(C27&gt;2,LOOKUP(E125,BE:BH),IF(C27=2,LOOKUP(E125,AU:AX),LOOKUP(E125,AK:AN))))</f>
        <v>Luke 22:52-62</v>
      </c>
      <c r="I125" s="260" t="str">
        <f>IF(ISBLANK(BG7),IF(MOD(A7,2),LOOKUP(E125,AK7:AO182),LOOKUP(E125,AU:AY)),IF(C27&gt;2,LOOKUP(E125,BE:BI),IF(C27=2,LOOKUP(E125,AU:AY),LOOKUP(E125,AK:AO))))</f>
        <v>Luke 22:63-71</v>
      </c>
      <c r="J125" s="260" t="str">
        <f>IF(ISBLANK(BG7),IF(MOD(A7,2),LOOKUP(E125,AK7:AP182),LOOKUP(E125,AU:AZ)),IF(C27&gt;2,LOOKUP(E125,BE:BJ),IF(C27=2,LOOKUP(E125,AU:AZ),LOOKUP(E125,AK:AP))))</f>
        <v>Luke 23:1-12</v>
      </c>
      <c r="K125" s="260" t="str">
        <f>IF(ISBLANK(BG7),IF(MOD(A7,2),LOOKUP(E125,AK7:AQ182),LOOKUP(E125,AU:BA)),IF(C27&gt;2,LOOKUP(E125,BE:BK),IF(C27=2,LOOKUP(E125,AU:BA),LOOKUP(E125,AK:AQ))))</f>
        <v>Luke 23:13-25</v>
      </c>
      <c r="L125" s="260" t="str">
        <f>IF(ISBLANK(BG7),IF(MOD(A7,2),LOOKUP(E125,AK7:AR182),LOOKUP(E125,AU:BB)),IF(C27&gt;2,LOOKUP(E125,BE:BL),IF(C27=2,LOOKUP(E125,AU:BB),LOOKUP(E125,AK:AR))))</f>
        <v>Luke 23:26-31</v>
      </c>
      <c r="M125" s="260" t="str">
        <f>IF(ISBLANK(BG7),IF(MOD(A7,2),LOOKUP(E125,AK7:AS182),LOOKUP(E125,AU:BC)),IF(C27&gt;2,LOOKUP(E125,BE:BM),IF(C27=2,LOOKUP(E125,AU:BC),LOOKUP(E125,AK:AS))))</f>
        <v>Luke 23:32-43</v>
      </c>
      <c r="N125" s="267"/>
      <c r="O125" s="99"/>
      <c r="Z125" s="12"/>
      <c r="AK125" s="2">
        <v>118</v>
      </c>
      <c r="AL125" s="248" t="s">
        <v>2342</v>
      </c>
      <c r="AM125" s="64" t="s">
        <v>104</v>
      </c>
      <c r="AN125" s="64" t="s">
        <v>2343</v>
      </c>
      <c r="AO125" s="63" t="s">
        <v>2344</v>
      </c>
      <c r="AP125" s="64" t="s">
        <v>1529</v>
      </c>
      <c r="AQ125" s="63" t="s">
        <v>2345</v>
      </c>
      <c r="AR125" s="64" t="s">
        <v>584</v>
      </c>
      <c r="AS125" s="144" t="s">
        <v>585</v>
      </c>
      <c r="AU125" s="2">
        <v>118</v>
      </c>
      <c r="AV125" s="248" t="s">
        <v>2342</v>
      </c>
      <c r="AW125" s="104" t="s">
        <v>2346</v>
      </c>
      <c r="AX125" s="103" t="s">
        <v>169</v>
      </c>
      <c r="AY125" s="104" t="s">
        <v>170</v>
      </c>
      <c r="AZ125" s="103" t="s">
        <v>171</v>
      </c>
      <c r="BA125" s="104" t="s">
        <v>172</v>
      </c>
      <c r="BB125" s="103" t="s">
        <v>236</v>
      </c>
      <c r="BC125" s="104" t="s">
        <v>2347</v>
      </c>
      <c r="BE125" s="2">
        <v>118</v>
      </c>
      <c r="BF125" s="248" t="s">
        <v>2342</v>
      </c>
      <c r="BG125" s="68" t="s">
        <v>2348</v>
      </c>
      <c r="BH125" s="69" t="s">
        <v>2349</v>
      </c>
      <c r="BI125" s="68" t="s">
        <v>2350</v>
      </c>
      <c r="BJ125" s="69" t="s">
        <v>2351</v>
      </c>
      <c r="BK125" s="69" t="s">
        <v>2352</v>
      </c>
      <c r="BL125" s="69" t="s">
        <v>2353</v>
      </c>
      <c r="BM125" s="69" t="s">
        <v>2354</v>
      </c>
    </row>
    <row r="126" spans="2:65" ht="12.75">
      <c r="B126" s="4"/>
      <c r="C126" s="4"/>
      <c r="D126" s="138">
        <f>B19+56</f>
        <v>41469</v>
      </c>
      <c r="E126" s="73">
        <v>116</v>
      </c>
      <c r="F126" s="262" t="s">
        <v>2355</v>
      </c>
      <c r="G126" s="107" t="str">
        <f>IF(ISBLANK(BG7),IF(MOD(A7,2),LOOKUP(E126,AK7:AM182),LOOKUP(E126,AU:AW)),IF(C27&gt;2,LOOKUP(E126,BE:BG),IF(C27=2,LOOKUP(E126,AU:AW),LOOKUP(E126,AK:AM))))</f>
        <v>1 Samuel 14:36-45,</v>
      </c>
      <c r="H126" s="264" t="str">
        <f>IF(ISBLANK(BG7),IF(MOD(A7,2),LOOKUP(E126,AK7:AN182),LOOKUP(E126,AU:AX)),IF(C27&gt;2,LOOKUP(E126,BE:BH),IF(C27=2,LOOKUP(E126,AU:AX),LOOKUP(E126,AK:AN))))</f>
        <v>1 Samuel 15:1-3, 7-23,</v>
      </c>
      <c r="I126" s="264" t="str">
        <f>IF(ISBLANK(BG7),IF(MOD(A7,2),LOOKUP(E126,AK7:AO182),LOOKUP(E126,AU:AY)),IF(C27&gt;2,LOOKUP(E126,BE:BI),IF(C27=2,LOOKUP(E126,AU:AY),LOOKUP(E126,AK:AO))))</f>
        <v>1 Samuel 15:24-35,</v>
      </c>
      <c r="J126" s="264" t="str">
        <f>IF(ISBLANK(BG7),IF(MOD(A7,2),LOOKUP(E126,AK7:AP182),LOOKUP(E126,AU:AZ)),IF(C27&gt;2,LOOKUP(E126,BE:BJ),IF(C27=2,LOOKUP(E126,AU:AZ),LOOKUP(E126,AK:AP))))</f>
        <v>1 Samuel 16:1-13,</v>
      </c>
      <c r="K126" s="264" t="str">
        <f>IF(ISBLANK(BG7),IF(MOD(A7,2),LOOKUP(E126,AK7:AQ182),LOOKUP(E126,AU:BA)),IF(C27&gt;2,LOOKUP(E126,BE:BK),IF(C27=2,LOOKUP(E126,AU:BA),LOOKUP(E126,AK:AQ))))</f>
        <v>1 Samuel 16:14-17:11,</v>
      </c>
      <c r="L126" s="264" t="str">
        <f>IF(ISBLANK(BG7),IF(MOD(A7,2),LOOKUP(E126,AK7:AR182),LOOKUP(E126,AU:BB)),IF(C27&gt;2,LOOKUP(E126,BE:BL),IF(C27=2,LOOKUP(E126,AU:BB),LOOKUP(E126,AK:AR))))</f>
        <v>1 Samuel 17:17-30,</v>
      </c>
      <c r="M126" s="264" t="str">
        <f>IF(ISBLANK(BG7),IF(MOD(A7,2),LOOKUP(E126,AK7:AS182),LOOKUP(E126,AU:BC)),IF(C27&gt;2,LOOKUP(E126,BE:BM),IF(C27=2,LOOKUP(E126,AU:BC),LOOKUP(E126,AK:AS))))</f>
        <v>1 Samuel 17:31-49,</v>
      </c>
      <c r="N126" s="251" t="s">
        <v>2355</v>
      </c>
      <c r="O126" s="56">
        <f>D126</f>
        <v>41469</v>
      </c>
      <c r="Z126" s="12"/>
      <c r="AK126" s="2">
        <v>119</v>
      </c>
      <c r="AL126" s="13" t="s">
        <v>2356</v>
      </c>
      <c r="AM126" s="89" t="s">
        <v>2357</v>
      </c>
      <c r="AN126" s="89" t="s">
        <v>2358</v>
      </c>
      <c r="AO126" s="88" t="s">
        <v>2359</v>
      </c>
      <c r="AP126" s="89" t="s">
        <v>2360</v>
      </c>
      <c r="AQ126" s="88" t="s">
        <v>2361</v>
      </c>
      <c r="AR126" s="89" t="s">
        <v>2362</v>
      </c>
      <c r="AS126" s="242" t="s">
        <v>2363</v>
      </c>
      <c r="AU126" s="2">
        <v>119</v>
      </c>
      <c r="AV126" s="13" t="s">
        <v>2356</v>
      </c>
      <c r="AW126" s="67" t="s">
        <v>2364</v>
      </c>
      <c r="AX126" s="66" t="s">
        <v>2365</v>
      </c>
      <c r="AY126" s="67" t="s">
        <v>2366</v>
      </c>
      <c r="AZ126" s="66" t="s">
        <v>2367</v>
      </c>
      <c r="BA126" s="67" t="s">
        <v>415</v>
      </c>
      <c r="BB126" s="66" t="s">
        <v>2368</v>
      </c>
      <c r="BC126" s="67" t="s">
        <v>2369</v>
      </c>
      <c r="BE126" s="2">
        <v>119</v>
      </c>
      <c r="BF126" s="13" t="s">
        <v>2356</v>
      </c>
      <c r="BG126" s="68" t="s">
        <v>2370</v>
      </c>
      <c r="BH126" s="69" t="s">
        <v>2371</v>
      </c>
      <c r="BI126" s="68" t="s">
        <v>2372</v>
      </c>
      <c r="BJ126" s="69" t="s">
        <v>2373</v>
      </c>
      <c r="BK126" s="69" t="s">
        <v>2374</v>
      </c>
      <c r="BL126" s="69" t="s">
        <v>2375</v>
      </c>
      <c r="BM126" s="69" t="s">
        <v>2376</v>
      </c>
    </row>
    <row r="127" spans="2:65" ht="12.75">
      <c r="B127" s="4"/>
      <c r="C127" s="4"/>
      <c r="D127" s="138"/>
      <c r="E127" s="73">
        <v>117</v>
      </c>
      <c r="F127" s="250"/>
      <c r="G127" s="255" t="str">
        <f>IF(ISBLANK(BG7),IF(MOD(A7,2),LOOKUP(E127,AK7:AM182),LOOKUP(E127,AU:AW)),IF(C27&gt;2,LOOKUP(E127,BE:BG),IF(C27=2,LOOKUP(E127,AU:AW),LOOKUP(E127,AK:AM))))</f>
        <v>Romans 5:1-11,</v>
      </c>
      <c r="H127" s="111" t="str">
        <f>IF(ISBLANK(BG7),IF(MOD(A7,2),LOOKUP(E127,AK7:AN182),LOOKUP(E127,AU:AX)),IF(C27&gt;2,LOOKUP(E127,BE:BH),IF(C27=2,LOOKUP(E127,AU:AX),LOOKUP(E127,AK:AN))))</f>
        <v>Acts 9:19b-31,</v>
      </c>
      <c r="I127" s="111" t="str">
        <f>IF(ISBLANK(BG7),IF(MOD(A7,2),LOOKUP(E127,AK7:AO182),LOOKUP(E127,AU:AY)),IF(C27&gt;2,LOOKUP(E127,BE:BI),IF(C27=2,LOOKUP(E127,AU:AY),LOOKUP(E127,AK:AO))))</f>
        <v>Acts 9:32-43,</v>
      </c>
      <c r="J127" s="111" t="str">
        <f>IF(ISBLANK(BG7),IF(MOD(A7,2),LOOKUP(E127,AK7:AP182),LOOKUP(E127,AU:AZ)),IF(C27&gt;2,LOOKUP(E127,BE:BJ),IF(C27=2,LOOKUP(E127,AU:AZ),LOOKUP(E127,AK:AP))))</f>
        <v>Acts 10:1-16,</v>
      </c>
      <c r="K127" s="111" t="str">
        <f>IF(ISBLANK(BG7),IF(MOD(A7,2),LOOKUP(E127,AK7:AQ182),LOOKUP(E127,AU:BA)),IF(C27&gt;2,LOOKUP(E127,BE:BK),IF(C27=2,LOOKUP(E127,AU:BA),LOOKUP(E127,AK:AQ))))</f>
        <v>Acts 10:17-33,</v>
      </c>
      <c r="L127" s="111" t="str">
        <f>IF(ISBLANK(BG7),IF(MOD(A7,2),LOOKUP(E127,AK7:AR182),LOOKUP(E127,AU:BB)),IF(C27&gt;2,LOOKUP(E127,BE:BL),IF(C27=2,LOOKUP(E127,AU:BB),LOOKUP(E127,AK:AR))))</f>
        <v>Acts 10:34-48,</v>
      </c>
      <c r="M127" s="111" t="str">
        <f>IF(ISBLANK(BG7),IF(MOD(A7,2),LOOKUP(E127,AK7:AS182),LOOKUP(E127,AU:BC)),IF(C27&gt;2,LOOKUP(E127,BE:BM),IF(C27=2,LOOKUP(E127,AU:BC),LOOKUP(E127,AK:AS))))</f>
        <v>Acts 11:1-18,</v>
      </c>
      <c r="N127" s="251"/>
      <c r="O127" s="78"/>
      <c r="Z127" s="12"/>
      <c r="AK127" s="2">
        <v>120</v>
      </c>
      <c r="AL127" s="13" t="s">
        <v>2377</v>
      </c>
      <c r="AM127" s="64" t="s">
        <v>2378</v>
      </c>
      <c r="AN127" s="64" t="s">
        <v>2379</v>
      </c>
      <c r="AO127" s="63" t="s">
        <v>2380</v>
      </c>
      <c r="AP127" s="64" t="s">
        <v>2381</v>
      </c>
      <c r="AQ127" s="63" t="s">
        <v>2162</v>
      </c>
      <c r="AR127" s="64" t="s">
        <v>2382</v>
      </c>
      <c r="AS127" s="144" t="s">
        <v>2383</v>
      </c>
      <c r="AU127" s="2">
        <v>120</v>
      </c>
      <c r="AV127" s="13" t="s">
        <v>2377</v>
      </c>
      <c r="AW127" s="67" t="s">
        <v>2384</v>
      </c>
      <c r="AX127" s="66" t="s">
        <v>1375</v>
      </c>
      <c r="AY127" s="67" t="s">
        <v>1376</v>
      </c>
      <c r="AZ127" s="66" t="s">
        <v>1377</v>
      </c>
      <c r="BA127" s="67" t="s">
        <v>835</v>
      </c>
      <c r="BB127" s="66" t="s">
        <v>836</v>
      </c>
      <c r="BC127" s="67" t="s">
        <v>2385</v>
      </c>
      <c r="BE127" s="2">
        <v>120</v>
      </c>
      <c r="BF127" s="13" t="s">
        <v>2377</v>
      </c>
      <c r="BG127" s="68" t="s">
        <v>2386</v>
      </c>
      <c r="BH127" s="69" t="s">
        <v>2387</v>
      </c>
      <c r="BI127" s="68" t="s">
        <v>2388</v>
      </c>
      <c r="BJ127" s="69" t="s">
        <v>2389</v>
      </c>
      <c r="BK127" s="69" t="s">
        <v>2390</v>
      </c>
      <c r="BL127" s="69" t="s">
        <v>2391</v>
      </c>
      <c r="BM127" s="69" t="s">
        <v>2392</v>
      </c>
    </row>
    <row r="128" spans="2:65" ht="12.75">
      <c r="B128" s="4"/>
      <c r="C128" s="4"/>
      <c r="D128" s="138"/>
      <c r="E128" s="73">
        <v>118</v>
      </c>
      <c r="F128" s="258"/>
      <c r="G128" s="199" t="str">
        <f>IF(ISBLANK(BG7),IF(MOD(A7,2),LOOKUP(E128,AK7:AM182),LOOKUP(E128,AU:AW)),IF(C27&gt;2,LOOKUP(E128,BE:BG),IF(C27=2,LOOKUP(E128,AU:AW),LOOKUP(E128,AK:AM))))</f>
        <v>Matthew 22:1-14</v>
      </c>
      <c r="H128" s="260" t="str">
        <f>IF(ISBLANK(BG7),IF(MOD(A7,2),LOOKUP(E128,AK7:AN182),LOOKUP(E128,AU:AX)),IF(C27&gt;2,LOOKUP(E128,BE:BH),IF(C27=2,LOOKUP(E128,AU:AX),LOOKUP(E128,AK:AN))))</f>
        <v>Luke 23:44-56a</v>
      </c>
      <c r="I128" s="260" t="str">
        <f>IF(ISBLANK(BG7),IF(MOD(A7,2),LOOKUP(E128,AK7:AO182),LOOKUP(E128,AU:AY)),IF(C27&gt;2,LOOKUP(E128,BE:BI),IF(C27=2,LOOKUP(E128,AU:AY),LOOKUP(E128,AK:AO))))</f>
        <v>Luke 23:56b-24:11 (12)</v>
      </c>
      <c r="J128" s="260" t="str">
        <f>IF(ISBLANK(BG7),IF(MOD(A7,2),LOOKUP(E128,AK7:AP182),LOOKUP(E128,AU:AZ)),IF(C27&gt;2,LOOKUP(E128,BE:BJ),IF(C27=2,LOOKUP(E128,AU:AZ),LOOKUP(E128,AK:AP))))</f>
        <v>Luke 24:13-35</v>
      </c>
      <c r="K128" s="290" t="str">
        <f>IF(ISBLANK(BG7),IF(MOD(A7,2),LOOKUP(E128,AK7:AQ182),LOOKUP(E128,AU:BA)),IF(C27&gt;2,LOOKUP(E128,BE:BK),IF(C27=2,LOOKUP(E128,AU:BA),LOOKUP(E128,AK:AQ))))</f>
        <v>Luke 24:36-53</v>
      </c>
      <c r="L128" s="260" t="str">
        <f>IF(ISBLANK(BG7),IF(MOD(A7,2),LOOKUP(E128,AK7:AR182),LOOKUP(E128,AU:BB)),IF(C27&gt;2,LOOKUP(E128,BE:BL),IF(C27=2,LOOKUP(E128,AU:BB),LOOKUP(E128,AK:AR))))</f>
        <v>Mark 1:1-13</v>
      </c>
      <c r="M128" s="260" t="str">
        <f>IF(ISBLANK(BG7),IF(MOD(A7,2),LOOKUP(E128,AK7:AS182),LOOKUP(E128,AU:BC)),IF(C27&gt;2,LOOKUP(E128,BE:BM),IF(C27=2,LOOKUP(E128,AU:BC),LOOKUP(E128,AK:AS))))</f>
        <v>Mark 1:14-28</v>
      </c>
      <c r="N128" s="251"/>
      <c r="O128" s="99"/>
      <c r="Z128" s="12"/>
      <c r="AK128" s="2">
        <v>121</v>
      </c>
      <c r="AL128" s="13" t="s">
        <v>2393</v>
      </c>
      <c r="AM128" s="102" t="s">
        <v>2394</v>
      </c>
      <c r="AN128" s="102" t="s">
        <v>586</v>
      </c>
      <c r="AO128" s="101" t="s">
        <v>587</v>
      </c>
      <c r="AP128" s="102" t="s">
        <v>588</v>
      </c>
      <c r="AQ128" s="101" t="s">
        <v>589</v>
      </c>
      <c r="AR128" s="102" t="s">
        <v>653</v>
      </c>
      <c r="AS128" s="249" t="s">
        <v>654</v>
      </c>
      <c r="AU128" s="2">
        <v>121</v>
      </c>
      <c r="AV128" s="13" t="s">
        <v>2393</v>
      </c>
      <c r="AW128" s="67" t="s">
        <v>2395</v>
      </c>
      <c r="AX128" s="66" t="s">
        <v>93</v>
      </c>
      <c r="AY128" s="67" t="s">
        <v>239</v>
      </c>
      <c r="AZ128" s="66" t="s">
        <v>240</v>
      </c>
      <c r="BA128" s="104" t="s">
        <v>2396</v>
      </c>
      <c r="BB128" s="66" t="s">
        <v>2397</v>
      </c>
      <c r="BC128" s="67" t="s">
        <v>2398</v>
      </c>
      <c r="BE128" s="2">
        <v>121</v>
      </c>
      <c r="BF128" s="13" t="s">
        <v>2393</v>
      </c>
      <c r="BG128" s="68" t="s">
        <v>2399</v>
      </c>
      <c r="BH128" s="69" t="s">
        <v>2400</v>
      </c>
      <c r="BI128" s="68" t="s">
        <v>2401</v>
      </c>
      <c r="BJ128" s="69" t="s">
        <v>2402</v>
      </c>
      <c r="BK128" s="69" t="s">
        <v>2403</v>
      </c>
      <c r="BL128" s="69" t="s">
        <v>2404</v>
      </c>
      <c r="BM128" s="69" t="s">
        <v>2405</v>
      </c>
    </row>
    <row r="129" spans="2:65" ht="12.75">
      <c r="B129" s="4"/>
      <c r="C129" s="4"/>
      <c r="D129" s="254">
        <f>B19+63</f>
        <v>41476</v>
      </c>
      <c r="E129" s="261">
        <v>119</v>
      </c>
      <c r="F129" s="262" t="s">
        <v>2406</v>
      </c>
      <c r="G129" s="107" t="str">
        <f>IF(ISBLANK(BG7),IF(MOD(A7,2),LOOKUP(E129,AK7:AM182),LOOKUP(E129,AU:AW)),IF(C27&gt;2,LOOKUP(E129,BE:BG),IF(C27=2,LOOKUP(E129,AU:AW),LOOKUP(E129,AK:AM))))</f>
        <v>1 Samuel 17:50-18:4,</v>
      </c>
      <c r="H129" s="264" t="str">
        <f>IF(ISBLANK(BG7),IF(MOD(A7,2),LOOKUP(E129,AK7:AN182),LOOKUP(E129,AU:AX)),IF(C27&gt;2,LOOKUP(E129,BE:BH),IF(C27=2,LOOKUP(E129,AU:AX),LOOKUP(E129,AK:AN))))</f>
        <v>1 Samuel 18:5-16 (17-27a) 27b-30,</v>
      </c>
      <c r="I129" s="264" t="str">
        <f>IF(ISBLANK(BG7),IF(MOD(A7,2),LOOKUP(E129,AK7:AO182),LOOKUP(E129,AU:AY)),IF(C27&gt;2,LOOKUP(E129,BE:BI),IF(C27=2,LOOKUP(E129,AU:AY),LOOKUP(E129,AK:AO))))</f>
        <v>1 Samuel 19:1-18 (19-24),</v>
      </c>
      <c r="J129" s="264" t="str">
        <f>IF(ISBLANK(BG7),IF(MOD(A7,2),LOOKUP(E129,AK7:AP182),LOOKUP(E129,AU:AZ)),IF(C27&gt;2,LOOKUP(E129,BE:BJ),IF(C27=2,LOOKUP(E129,AU:AZ),LOOKUP(E129,AK:AP))))</f>
        <v>1 Samuel 20:1-23,</v>
      </c>
      <c r="K129" s="264" t="str">
        <f>IF(ISBLANK(BG7),IF(MOD(A7,2),LOOKUP(E129,AK7:AQ182),LOOKUP(E129,AU:BA)),IF(C27&gt;2,LOOKUP(E129,BE:BK),IF(C27=2,LOOKUP(E129,AU:BA),LOOKUP(E129,AK:AQ))))</f>
        <v>1 Samuel 20:24-42,</v>
      </c>
      <c r="L129" s="264" t="str">
        <f>IF(ISBLANK(BG7),IF(MOD(A7,2),LOOKUP(E129,AK7:AR182),LOOKUP(E129,AU:BB)),IF(C27&gt;2,LOOKUP(E129,BE:BL),IF(C27=2,LOOKUP(E129,AU:BB),LOOKUP(E129,AK:AR))))</f>
        <v>1 Samuel 21:1-15,</v>
      </c>
      <c r="M129" s="264" t="str">
        <f>IF(ISBLANK(BG7),IF(MOD(A7,2),LOOKUP(E129,AK7:AS182),LOOKUP(E129,AU:BC)),IF(C27&gt;2,LOOKUP(E129,BE:BM),IF(C27=2,LOOKUP(E129,AU:BC),LOOKUP(E129,AK:AS))))</f>
        <v>1 Samuel 22:1-23,</v>
      </c>
      <c r="N129" s="291" t="s">
        <v>2406</v>
      </c>
      <c r="O129" s="56">
        <f>D129</f>
        <v>41476</v>
      </c>
      <c r="Z129" s="12"/>
      <c r="AK129" s="2">
        <v>122</v>
      </c>
      <c r="AL129" s="245" t="s">
        <v>2407</v>
      </c>
      <c r="AM129" s="64" t="s">
        <v>2408</v>
      </c>
      <c r="AN129" s="64" t="s">
        <v>2409</v>
      </c>
      <c r="AO129" s="63" t="s">
        <v>2410</v>
      </c>
      <c r="AP129" s="64" t="s">
        <v>2411</v>
      </c>
      <c r="AQ129" s="63" t="s">
        <v>2412</v>
      </c>
      <c r="AR129" s="64" t="s">
        <v>2413</v>
      </c>
      <c r="AS129" s="144" t="s">
        <v>2414</v>
      </c>
      <c r="AU129" s="2">
        <v>122</v>
      </c>
      <c r="AV129" s="245" t="s">
        <v>2407</v>
      </c>
      <c r="AW129" s="91" t="s">
        <v>2415</v>
      </c>
      <c r="AX129" s="90" t="s">
        <v>2416</v>
      </c>
      <c r="AY129" s="91" t="s">
        <v>2417</v>
      </c>
      <c r="AZ129" s="91" t="s">
        <v>2418</v>
      </c>
      <c r="BA129" s="91" t="s">
        <v>2419</v>
      </c>
      <c r="BB129" s="90" t="s">
        <v>2420</v>
      </c>
      <c r="BC129" s="91" t="s">
        <v>2421</v>
      </c>
      <c r="BE129" s="2">
        <v>122</v>
      </c>
      <c r="BF129" s="245" t="s">
        <v>2407</v>
      </c>
      <c r="BG129" s="68" t="s">
        <v>2422</v>
      </c>
      <c r="BH129" s="69" t="s">
        <v>2423</v>
      </c>
      <c r="BI129" s="68" t="s">
        <v>2424</v>
      </c>
      <c r="BJ129" s="69" t="s">
        <v>2425</v>
      </c>
      <c r="BK129" s="69" t="s">
        <v>2426</v>
      </c>
      <c r="BL129" s="69" t="s">
        <v>2427</v>
      </c>
      <c r="BM129" s="69" t="s">
        <v>2428</v>
      </c>
    </row>
    <row r="130" spans="2:65" ht="12.75">
      <c r="B130" s="4"/>
      <c r="C130" s="4"/>
      <c r="D130" s="138"/>
      <c r="E130" s="73">
        <v>120</v>
      </c>
      <c r="F130" s="250"/>
      <c r="G130" s="255" t="str">
        <f>IF(ISBLANK(BG7),IF(MOD(A7,2),LOOKUP(E130,AK7:AM182),LOOKUP(E130,AU:AW)),IF(C27&gt;2,LOOKUP(E130,BE:BG),IF(C27=2,LOOKUP(E130,AU:AW),LOOKUP(E130,AK:AM))))</f>
        <v>Romans 10:4-17,</v>
      </c>
      <c r="H130" s="111" t="str">
        <f>IF(ISBLANK(BG7),IF(MOD(A7,2),LOOKUP(E130,AK7:AN182),LOOKUP(E130,AU:AX)),IF(C27&gt;2,LOOKUP(E130,BE:BH),IF(C27=2,LOOKUP(E130,AU:AX),LOOKUP(E130,AK:AN))))</f>
        <v>Acts 11:19-30,</v>
      </c>
      <c r="I130" s="111" t="str">
        <f>IF(ISBLANK(BG7),IF(MOD(A7,2),LOOKUP(E130,AK7:AO182),LOOKUP(E130,AU:AY)),IF(C27&gt;2,LOOKUP(E130,BE:BI),IF(C27=2,LOOKUP(E130,AU:AY),LOOKUP(E130,AK:AO))))</f>
        <v>Acts 12:1-17,</v>
      </c>
      <c r="J130" s="111" t="str">
        <f>IF(ISBLANK(BG7),IF(MOD(A7,2),LOOKUP(E130,AK7:AP182),LOOKUP(E130,AU:AZ)),IF(C27&gt;2,LOOKUP(E130,BE:BJ),IF(C27=2,LOOKUP(E130,AU:AZ),LOOKUP(E130,AK:AP))))</f>
        <v>Acts 12:18-25,</v>
      </c>
      <c r="K130" s="111" t="str">
        <f>IF(ISBLANK(BG7),IF(MOD(A7,2),LOOKUP(E130,AK7:AQ182),LOOKUP(E130,AU:BA)),IF(C27&gt;2,LOOKUP(E130,BE:BK),IF(C27=2,LOOKUP(E130,AU:BA),LOOKUP(E130,AK:AQ))))</f>
        <v>Acts 13:1-12,</v>
      </c>
      <c r="L130" s="111" t="str">
        <f>IF(ISBLANK(BG7),IF(MOD(A7,2),LOOKUP(E130,AK7:AR182),LOOKUP(E130,AU:BB)),IF(C27&gt;2,LOOKUP(E130,BE:BL),IF(C27=2,LOOKUP(E130,AU:BB),LOOKUP(E130,AK:AR))))</f>
        <v>Acts 13:13-25,</v>
      </c>
      <c r="M130" s="111" t="str">
        <f>IF(ISBLANK(BG7),IF(MOD(A7,2),LOOKUP(E130,AK7:AS182),LOOKUP(E130,AU:BC)),IF(C27&gt;2,LOOKUP(E130,BE:BM),IF(C27=2,LOOKUP(E130,AU:BC),LOOKUP(E130,AK:AS))))</f>
        <v>Acts 13:26-43,</v>
      </c>
      <c r="N130" s="292"/>
      <c r="O130" s="78"/>
      <c r="Z130" s="12"/>
      <c r="AK130" s="2">
        <v>123</v>
      </c>
      <c r="AL130" s="13" t="s">
        <v>2429</v>
      </c>
      <c r="AM130" s="64" t="s">
        <v>2430</v>
      </c>
      <c r="AN130" s="64" t="s">
        <v>2431</v>
      </c>
      <c r="AO130" s="63" t="s">
        <v>2432</v>
      </c>
      <c r="AP130" s="64" t="s">
        <v>2433</v>
      </c>
      <c r="AQ130" s="63" t="s">
        <v>2434</v>
      </c>
      <c r="AR130" s="64" t="s">
        <v>2435</v>
      </c>
      <c r="AS130" s="144" t="s">
        <v>2436</v>
      </c>
      <c r="AU130" s="2">
        <v>123</v>
      </c>
      <c r="AV130" s="13" t="s">
        <v>2429</v>
      </c>
      <c r="AW130" s="67" t="s">
        <v>2437</v>
      </c>
      <c r="AX130" s="66" t="s">
        <v>2438</v>
      </c>
      <c r="AY130" s="67" t="s">
        <v>1739</v>
      </c>
      <c r="AZ130" s="67" t="s">
        <v>1740</v>
      </c>
      <c r="BA130" s="67" t="s">
        <v>1741</v>
      </c>
      <c r="BB130" s="66" t="s">
        <v>2439</v>
      </c>
      <c r="BC130" s="67" t="s">
        <v>2440</v>
      </c>
      <c r="BE130" s="2">
        <v>123</v>
      </c>
      <c r="BF130" s="13" t="s">
        <v>2429</v>
      </c>
      <c r="BG130" s="68" t="s">
        <v>2441</v>
      </c>
      <c r="BH130" s="69" t="s">
        <v>2442</v>
      </c>
      <c r="BI130" s="68" t="s">
        <v>2443</v>
      </c>
      <c r="BJ130" s="69" t="s">
        <v>2444</v>
      </c>
      <c r="BK130" s="69" t="s">
        <v>2445</v>
      </c>
      <c r="BL130" s="69" t="s">
        <v>2446</v>
      </c>
      <c r="BM130" s="69" t="s">
        <v>2447</v>
      </c>
    </row>
    <row r="131" spans="2:65" ht="12.75">
      <c r="B131" s="4"/>
      <c r="C131" s="4"/>
      <c r="D131" s="256"/>
      <c r="E131" s="266">
        <v>121</v>
      </c>
      <c r="F131" s="258"/>
      <c r="G131" s="199" t="str">
        <f>IF(ISBLANK(BG7),IF(MOD(A7,2),LOOKUP(E131,AK7:AM182),LOOKUP(E131,AU:AW)),IF(C27&gt;2,LOOKUP(E131,BE:BG),IF(C27=2,LOOKUP(E131,AU:AW),LOOKUP(E131,AK:AM))))</f>
        <v>Matthew 23:29-39</v>
      </c>
      <c r="H131" s="260" t="str">
        <f>IF(ISBLANK(BG7),IF(MOD(A7,2),LOOKUP(E131,AK7:AN182),LOOKUP(E131,AU:AX)),IF(C27&gt;2,LOOKUP(E131,BE:BH),IF(C27=2,LOOKUP(E131,AU:AX),LOOKUP(E131,AK:AN))))</f>
        <v>Mark 1:29-45</v>
      </c>
      <c r="I131" s="260" t="str">
        <f>IF(ISBLANK(BG7),IF(MOD(A7,2),LOOKUP(E131,AK7:AO182),LOOKUP(E131,AU:AY)),IF(C27&gt;2,LOOKUP(E131,BE:BI),IF(C27=2,LOOKUP(E131,AU:AY),LOOKUP(E131,AK:AO))))</f>
        <v>Mark 2:1-12</v>
      </c>
      <c r="J131" s="260" t="str">
        <f>IF(ISBLANK(BG7),IF(MOD(A7,2),LOOKUP(E131,AK7:AP182),LOOKUP(E131,AU:AZ)),IF(C27&gt;2,LOOKUP(E131,BE:BJ),IF(C27=2,LOOKUP(E131,AU:AZ),LOOKUP(E131,AK:AP))))</f>
        <v>Mark 2:13-22</v>
      </c>
      <c r="K131" s="260" t="str">
        <f>IF(ISBLANK(BG7),IF(MOD(A7,2),LOOKUP(E131,AK7:AQ182),LOOKUP(E131,AU:BA)),IF(C27&gt;2,LOOKUP(E131,BE:BK),IF(C27=2,LOOKUP(E131,AU:BA),LOOKUP(E131,AK:AQ))))</f>
        <v>Mark 2:23-3:6</v>
      </c>
      <c r="L131" s="260" t="str">
        <f>IF(ISBLANK(BG7),IF(MOD(A7,2),LOOKUP(E131,AK7:AR182),LOOKUP(E131,AU:BB)),IF(C27&gt;2,LOOKUP(E131,BE:BL),IF(C27=2,LOOKUP(E131,AU:BB),LOOKUP(E131,AK:AR))))</f>
        <v>Mark 3:7-19a</v>
      </c>
      <c r="M131" s="260" t="str">
        <f>IF(ISBLANK(BG7),IF(MOD(A7,2),LOOKUP(E131,AK7:AS182),LOOKUP(E131,AU:BC)),IF(C27&gt;2,LOOKUP(E131,BE:BM),IF(C27=2,LOOKUP(E131,AU:BC),LOOKUP(E131,AK:AS))))</f>
        <v>Mark 3:19b-35</v>
      </c>
      <c r="N131" s="293"/>
      <c r="O131" s="99"/>
      <c r="Z131" s="12"/>
      <c r="AK131" s="2">
        <v>124</v>
      </c>
      <c r="AL131" s="248" t="s">
        <v>2448</v>
      </c>
      <c r="AM131" s="64" t="s">
        <v>239</v>
      </c>
      <c r="AN131" s="64" t="s">
        <v>655</v>
      </c>
      <c r="AO131" s="63" t="s">
        <v>656</v>
      </c>
      <c r="AP131" s="64" t="s">
        <v>657</v>
      </c>
      <c r="AQ131" s="63" t="s">
        <v>658</v>
      </c>
      <c r="AR131" s="64" t="s">
        <v>716</v>
      </c>
      <c r="AS131" s="144" t="s">
        <v>717</v>
      </c>
      <c r="AU131" s="2">
        <v>124</v>
      </c>
      <c r="AV131" s="248" t="s">
        <v>2448</v>
      </c>
      <c r="AW131" s="104" t="s">
        <v>587</v>
      </c>
      <c r="AX131" s="103" t="s">
        <v>2449</v>
      </c>
      <c r="AY131" s="104" t="s">
        <v>2450</v>
      </c>
      <c r="AZ131" s="104" t="s">
        <v>2451</v>
      </c>
      <c r="BA131" s="104" t="s">
        <v>2452</v>
      </c>
      <c r="BB131" s="103" t="s">
        <v>2453</v>
      </c>
      <c r="BC131" s="104" t="s">
        <v>2454</v>
      </c>
      <c r="BE131" s="2">
        <v>124</v>
      </c>
      <c r="BF131" s="248" t="s">
        <v>2448</v>
      </c>
      <c r="BG131" s="68" t="s">
        <v>2455</v>
      </c>
      <c r="BH131" s="69" t="s">
        <v>2456</v>
      </c>
      <c r="BI131" s="68" t="s">
        <v>2457</v>
      </c>
      <c r="BJ131" s="69" t="s">
        <v>2458</v>
      </c>
      <c r="BK131" s="69" t="s">
        <v>2459</v>
      </c>
      <c r="BL131" s="69" t="s">
        <v>2460</v>
      </c>
      <c r="BM131" s="69" t="s">
        <v>2461</v>
      </c>
    </row>
    <row r="132" spans="2:65" ht="12.75">
      <c r="B132" s="4"/>
      <c r="C132" s="4"/>
      <c r="D132" s="138">
        <f>B19+70</f>
        <v>41483</v>
      </c>
      <c r="E132" s="73">
        <v>122</v>
      </c>
      <c r="F132" s="262" t="s">
        <v>2462</v>
      </c>
      <c r="G132" s="107" t="str">
        <f>IF(ISBLANK(BG7),IF(MOD(A7,2),LOOKUP(E132,AK7:AM182),LOOKUP(E132,AU:AW)),IF(C27&gt;2,LOOKUP(E132,BE:BG),IF(C27=2,LOOKUP(E132,AU:AW),LOOKUP(E132,AK:AM))))</f>
        <v>1 Samuel 23:7-18,</v>
      </c>
      <c r="H132" s="264" t="str">
        <f>IF(ISBLANK(BG7),IF(MOD(A7,2),LOOKUP(E132,AK7:AN182),LOOKUP(E132,AU:AX)),IF(C27&gt;2,LOOKUP(E132,BE:BH),IF(C27=2,LOOKUP(E132,AU:AX),LOOKUP(E132,AK:AN))))</f>
        <v>1 Samuel 24:1-22,</v>
      </c>
      <c r="I132" s="264" t="str">
        <f>IF(ISBLANK(BG7),IF(MOD(A7,2),LOOKUP(E132,AK7:AO182),LOOKUP(E132,AU:AY)),IF(C27&gt;2,LOOKUP(E132,BE:BI),IF(C27=2,LOOKUP(E132,AU:AY),LOOKUP(E132,AK:AO))))</f>
        <v>1 Samuel 25:1-22,</v>
      </c>
      <c r="J132" s="264" t="str">
        <f>IF(ISBLANK(BG7),IF(MOD(A7,2),LOOKUP(E132,AK7:AP182),LOOKUP(E132,AU:AZ)),IF(C27&gt;2,LOOKUP(E132,BE:BJ),IF(C27=2,LOOKUP(E132,AU:AZ),LOOKUP(E132,AK:AP))))</f>
        <v>1 Samuel 25:23-44,</v>
      </c>
      <c r="K132" s="264" t="str">
        <f>IF(ISBLANK(BG7),IF(MOD(A7,2),LOOKUP(E132,AK7:AQ182),LOOKUP(E132,AU:BA)),IF(C27&gt;2,LOOKUP(E132,BE:BK),IF(C27=2,LOOKUP(E132,AU:BA),LOOKUP(E132,AK:AQ))))</f>
        <v>1 Samuel 28:3-20,</v>
      </c>
      <c r="L132" s="264" t="str">
        <f>IF(ISBLANK(BG7),IF(MOD(A7,2),LOOKUP(E132,AK7:AR182),LOOKUP(E132,AU:BB)),IF(C27&gt;2,LOOKUP(E132,BE:BL),IF(C27=2,LOOKUP(E132,AU:BB),LOOKUP(E132,AK:AR))))</f>
        <v>1 Samuel 31:1-13,</v>
      </c>
      <c r="M132" s="264" t="str">
        <f>IF(ISBLANK(BG7),IF(MOD(A7,2),LOOKUP(E132,AK7:AS182),LOOKUP(E132,AU:BC)),IF(C27&gt;2,LOOKUP(E132,BE:BM),IF(C27=2,LOOKUP(E132,AU:BC),LOOKUP(E132,AK:AS))))</f>
        <v>2 Samuel 1:1-16,</v>
      </c>
      <c r="N132" s="292" t="s">
        <v>2462</v>
      </c>
      <c r="O132" s="109">
        <f>D132</f>
        <v>41483</v>
      </c>
      <c r="Z132" s="12"/>
      <c r="AK132" s="2">
        <v>125</v>
      </c>
      <c r="AL132" s="13" t="s">
        <v>2463</v>
      </c>
      <c r="AM132" s="89" t="s">
        <v>2464</v>
      </c>
      <c r="AN132" s="89" t="s">
        <v>2465</v>
      </c>
      <c r="AO132" s="88" t="s">
        <v>2466</v>
      </c>
      <c r="AP132" s="89" t="s">
        <v>2467</v>
      </c>
      <c r="AQ132" s="88" t="s">
        <v>2468</v>
      </c>
      <c r="AR132" s="89" t="s">
        <v>2469</v>
      </c>
      <c r="AS132" s="242" t="s">
        <v>2470</v>
      </c>
      <c r="AU132" s="2">
        <v>125</v>
      </c>
      <c r="AV132" s="13" t="s">
        <v>2463</v>
      </c>
      <c r="AW132" s="67" t="s">
        <v>2471</v>
      </c>
      <c r="AX132" s="66" t="s">
        <v>2472</v>
      </c>
      <c r="AY132" s="67" t="s">
        <v>2473</v>
      </c>
      <c r="AZ132" s="66" t="s">
        <v>2474</v>
      </c>
      <c r="BA132" s="67" t="s">
        <v>2475</v>
      </c>
      <c r="BB132" s="66" t="s">
        <v>2476</v>
      </c>
      <c r="BC132" s="67" t="s">
        <v>2477</v>
      </c>
      <c r="BE132" s="2">
        <v>125</v>
      </c>
      <c r="BF132" s="13" t="s">
        <v>2463</v>
      </c>
      <c r="BG132" s="68" t="s">
        <v>2478</v>
      </c>
      <c r="BH132" s="69" t="s">
        <v>2479</v>
      </c>
      <c r="BI132" s="68" t="s">
        <v>2480</v>
      </c>
      <c r="BJ132" s="69" t="s">
        <v>2481</v>
      </c>
      <c r="BK132" s="69" t="s">
        <v>2482</v>
      </c>
      <c r="BL132" s="69" t="s">
        <v>2483</v>
      </c>
      <c r="BM132" s="69" t="s">
        <v>2484</v>
      </c>
    </row>
    <row r="133" spans="2:65" ht="12.75">
      <c r="B133" s="4"/>
      <c r="C133" s="4"/>
      <c r="D133" s="138"/>
      <c r="E133" s="73">
        <v>123</v>
      </c>
      <c r="F133" s="250"/>
      <c r="G133" s="255" t="str">
        <f>IF(ISBLANK(BG7),IF(MOD(A7,2),LOOKUP(E133,AK7:AM182),LOOKUP(E133,AU:AW)),IF(C27&gt;2,LOOKUP(E133,BE:BG),IF(C27=2,LOOKUP(E133,AU:AW),LOOKUP(E133,AK:AM))))</f>
        <v>Romans 11:33-12:2,</v>
      </c>
      <c r="H133" s="111" t="str">
        <f>IF(ISBLANK(BG7),IF(MOD(A7,2),LOOKUP(E133,AK7:AN182),LOOKUP(E133,AU:AX)),IF(C27&gt;2,LOOKUP(E133,BE:BH),IF(C27=2,LOOKUP(E133,AU:AX),LOOKUP(E133,AK:AN))))</f>
        <v>Acts 13:44-52,</v>
      </c>
      <c r="I133" s="111" t="str">
        <f>IF(ISBLANK(BG7),IF(MOD(A7,2),LOOKUP(E133,AK7:AO182),LOOKUP(E133,AU:AY)),IF(C27&gt;2,LOOKUP(E133,BE:BI),IF(C27=2,LOOKUP(E133,AU:AY),LOOKUP(E133,AK:AO))))</f>
        <v>Acts 14:1-18,</v>
      </c>
      <c r="J133" s="111" t="str">
        <f>IF(ISBLANK(BG7),IF(MOD(A7,2),LOOKUP(E133,AK7:AP182),LOOKUP(E133,AU:AZ)),IF(C27&gt;2,LOOKUP(E133,BE:BJ),IF(C27=2,LOOKUP(E133,AU:AZ),LOOKUP(E133,AK:AP))))</f>
        <v>Acts 14:19-28,</v>
      </c>
      <c r="K133" s="111" t="str">
        <f>IF(ISBLANK(BG7),IF(MOD(A7,2),LOOKUP(E133,AK7:AQ182),LOOKUP(E133,AU:BA)),IF(C27&gt;2,LOOKUP(E133,BE:BK),IF(C27=2,LOOKUP(E133,AU:BA),LOOKUP(E133,AK:AQ))))</f>
        <v>Acts 15:1-11,</v>
      </c>
      <c r="L133" s="111" t="str">
        <f>IF(ISBLANK(BG7),IF(MOD(A7,2),LOOKUP(E133,AK7:AR182),LOOKUP(E133,AU:BB)),IF(C27&gt;2,LOOKUP(E133,BE:BL),IF(C27=2,LOOKUP(E133,AU:BB),LOOKUP(E133,AK:AR))))</f>
        <v>Acts 15:12-21,</v>
      </c>
      <c r="M133" s="111" t="str">
        <f>IF(ISBLANK(BG7),IF(MOD(A7,2),LOOKUP(E133,AK7:AS182),LOOKUP(E133,AU:BC)),IF(C27&gt;2,LOOKUP(E133,BE:BM),IF(C27=2,LOOKUP(E133,AU:BC),LOOKUP(E133,AK:AS))))</f>
        <v>Acts 15:22-35,</v>
      </c>
      <c r="N133" s="292"/>
      <c r="O133" s="78"/>
      <c r="Z133" s="12"/>
      <c r="AK133" s="2">
        <v>126</v>
      </c>
      <c r="AL133" s="13" t="s">
        <v>2485</v>
      </c>
      <c r="AM133" s="64" t="s">
        <v>836</v>
      </c>
      <c r="AN133" s="64" t="s">
        <v>2486</v>
      </c>
      <c r="AO133" s="63" t="s">
        <v>2487</v>
      </c>
      <c r="AP133" s="64" t="s">
        <v>2488</v>
      </c>
      <c r="AQ133" s="63" t="s">
        <v>2489</v>
      </c>
      <c r="AR133" s="64" t="s">
        <v>2490</v>
      </c>
      <c r="AS133" s="144" t="s">
        <v>2491</v>
      </c>
      <c r="AU133" s="2">
        <v>126</v>
      </c>
      <c r="AV133" s="13" t="s">
        <v>2485</v>
      </c>
      <c r="AW133" s="67" t="s">
        <v>2492</v>
      </c>
      <c r="AX133" s="66" t="s">
        <v>2493</v>
      </c>
      <c r="AY133" s="67" t="s">
        <v>2494</v>
      </c>
      <c r="AZ133" s="66" t="s">
        <v>2156</v>
      </c>
      <c r="BA133" s="67" t="s">
        <v>2157</v>
      </c>
      <c r="BB133" s="66" t="s">
        <v>2158</v>
      </c>
      <c r="BC133" s="67" t="s">
        <v>2159</v>
      </c>
      <c r="BE133" s="2">
        <v>126</v>
      </c>
      <c r="BF133" s="13" t="s">
        <v>2485</v>
      </c>
      <c r="BG133" s="68" t="s">
        <v>2495</v>
      </c>
      <c r="BH133" s="69" t="s">
        <v>2496</v>
      </c>
      <c r="BI133" s="68" t="s">
        <v>2497</v>
      </c>
      <c r="BJ133" s="69" t="s">
        <v>2498</v>
      </c>
      <c r="BK133" s="69" t="s">
        <v>2499</v>
      </c>
      <c r="BL133" s="69" t="s">
        <v>2500</v>
      </c>
      <c r="BM133" s="69" t="s">
        <v>2501</v>
      </c>
    </row>
    <row r="134" spans="2:65" ht="12.75">
      <c r="B134" s="4"/>
      <c r="C134" s="4"/>
      <c r="D134" s="138"/>
      <c r="E134" s="73">
        <v>124</v>
      </c>
      <c r="F134" s="258"/>
      <c r="G134" s="199" t="str">
        <f>IF(ISBLANK(BG7),IF(MOD(A7,2),LOOKUP(E134,AK7:AM182),LOOKUP(E134,AU:AW)),IF(C27&gt;2,LOOKUP(E134,BE:BG),IF(C27=2,LOOKUP(E134,AU:AW),LOOKUP(E134,AK:AM))))</f>
        <v>Matthew 25:14-30</v>
      </c>
      <c r="H134" s="260" t="str">
        <f>IF(ISBLANK(BG7),IF(MOD(A7,2),LOOKUP(E134,AK7:AN182),LOOKUP(E134,AU:AX)),IF(C27&gt;2,LOOKUP(E134,BE:BH),IF(C27=2,LOOKUP(E134,AU:AX),LOOKUP(E134,AK:AN))))</f>
        <v>Mark 4:1-20</v>
      </c>
      <c r="I134" s="260" t="str">
        <f>IF(ISBLANK(BG7),IF(MOD(A7,2),LOOKUP(E134,AK7:AO182),LOOKUP(E134,AU:AY)),IF(C27&gt;2,LOOKUP(E134,BE:BI),IF(C27=2,LOOKUP(E134,AU:AY),LOOKUP(E134,AK:AO))))</f>
        <v>Mark 4:21-34</v>
      </c>
      <c r="J134" s="260" t="str">
        <f>IF(ISBLANK(BG7),IF(MOD(A7,2),LOOKUP(E134,AK7:AP182),LOOKUP(E134,AU:AZ)),IF(C27&gt;2,LOOKUP(E134,BE:BJ),IF(C27=2,LOOKUP(E134,AU:AZ),LOOKUP(E134,AK:AP))))</f>
        <v>Mark 4:35-41</v>
      </c>
      <c r="K134" s="260" t="str">
        <f>IF(ISBLANK(BG7),IF(MOD(A7,2),LOOKUP(E134,AK7:AQ182),LOOKUP(E134,AU:BA)),IF(C27&gt;2,LOOKUP(E134,BE:BK),IF(C27=2,LOOKUP(E134,AU:BA),LOOKUP(E134,AK:AQ))))</f>
        <v>Mark 5:1-20</v>
      </c>
      <c r="L134" s="260" t="str">
        <f>IF(ISBLANK(BG7),IF(MOD(A7,2),LOOKUP(E134,AK7:AR182),LOOKUP(E134,AU:BB)),IF(C27&gt;2,LOOKUP(E134,BE:BL),IF(C27=2,LOOKUP(E134,AU:BB),LOOKUP(E134,AK:AR))))</f>
        <v>Mark 5:21-43</v>
      </c>
      <c r="M134" s="260" t="str">
        <f>IF(ISBLANK(BG7),IF(MOD(A7,2),LOOKUP(E134,AK7:AS182),LOOKUP(E134,AU:BC)),IF(C27&gt;2,LOOKUP(E134,BE:BM),IF(C27=2,LOOKUP(E134,AU:BC),LOOKUP(E34,AK:AS))))</f>
        <v>Mark 6:1-13</v>
      </c>
      <c r="N134" s="292"/>
      <c r="O134" s="78"/>
      <c r="Z134" s="12"/>
      <c r="AK134" s="2">
        <v>127</v>
      </c>
      <c r="AL134" s="13" t="s">
        <v>2502</v>
      </c>
      <c r="AM134" s="102" t="s">
        <v>240</v>
      </c>
      <c r="AN134" s="102" t="s">
        <v>2503</v>
      </c>
      <c r="AO134" s="101" t="s">
        <v>719</v>
      </c>
      <c r="AP134" s="102" t="s">
        <v>720</v>
      </c>
      <c r="AQ134" s="101" t="s">
        <v>721</v>
      </c>
      <c r="AR134" s="102" t="s">
        <v>780</v>
      </c>
      <c r="AS134" s="249" t="s">
        <v>781</v>
      </c>
      <c r="AU134" s="2">
        <v>127</v>
      </c>
      <c r="AV134" s="13" t="s">
        <v>2502</v>
      </c>
      <c r="AW134" s="67" t="s">
        <v>2504</v>
      </c>
      <c r="AX134" s="66" t="s">
        <v>2505</v>
      </c>
      <c r="AY134" s="67" t="s">
        <v>2506</v>
      </c>
      <c r="AZ134" s="66" t="s">
        <v>2507</v>
      </c>
      <c r="BA134" s="67" t="s">
        <v>2508</v>
      </c>
      <c r="BB134" s="66" t="s">
        <v>2509</v>
      </c>
      <c r="BC134" s="67" t="s">
        <v>2510</v>
      </c>
      <c r="BE134" s="2">
        <v>127</v>
      </c>
      <c r="BF134" s="13" t="s">
        <v>2502</v>
      </c>
      <c r="BG134" s="68" t="s">
        <v>2511</v>
      </c>
      <c r="BH134" s="69" t="s">
        <v>2512</v>
      </c>
      <c r="BI134" s="68" t="s">
        <v>2513</v>
      </c>
      <c r="BJ134" s="69" t="s">
        <v>2514</v>
      </c>
      <c r="BK134" s="69" t="s">
        <v>2515</v>
      </c>
      <c r="BL134" s="69" t="s">
        <v>2516</v>
      </c>
      <c r="BM134" s="69" t="s">
        <v>2517</v>
      </c>
    </row>
    <row r="135" spans="2:65" ht="12.75">
      <c r="B135" s="4"/>
      <c r="C135" s="4"/>
      <c r="D135" s="254">
        <f>B19+77</f>
        <v>41490</v>
      </c>
      <c r="E135" s="261">
        <v>125</v>
      </c>
      <c r="F135" s="294" t="s">
        <v>2518</v>
      </c>
      <c r="G135" s="295" t="str">
        <f>IF(ISBLANK(BG7),IF(MOD(A7,2),LOOKUP(E135,AK7:AM182),LOOKUP(E135,AU:AW)),IF(C27&gt;2,LOOKUP(E135,BE:BG),IF(C27=2,LOOKUP(E135,AU:AW),LOOKUP(E135,AK:AM))))</f>
        <v>2 Samuel 1:17-27,</v>
      </c>
      <c r="H135" s="264" t="str">
        <f>IF(ISBLANK(BG7),IF(MOD(A7,2),LOOKUP(E135,AK7:AN182),LOOKUP(E135,AU:AX)),IF(C27&gt;2,LOOKUP(E135,BE:BH),IF(C27=2,LOOKUP(E135,AU:AX),LOOKUP(E135,AK:AN))))</f>
        <v>2 Samuel 2:1-11,</v>
      </c>
      <c r="I135" s="264" t="str">
        <f>IF(ISBLANK(BG7),IF(MOD(A7,2),LOOKUP(E135,AK7:AO182),LOOKUP(E135,AU:AY)),IF(C27&gt;2,LOOKUP(E135,BE:BI),IF(C27=2,LOOKUP(E135,AU:AY),LOOKUP(E135,AK:AO))))</f>
        <v>2 Samuel 3:6-21,</v>
      </c>
      <c r="J135" s="264" t="str">
        <f>IF(ISBLANK(BG7),IF(MOD(A7,2),LOOKUP(E135,AK7:AP182),LOOKUP(E135,AU:AZ)),IF(C27&gt;2,LOOKUP(E135,BE:BJ),IF(C27=2,LOOKUP(E135,AU:AZ),LOOKUP(E135,AK:AP))))</f>
        <v>2 Samuel 3:22-39,</v>
      </c>
      <c r="K135" s="264" t="str">
        <f>IF(ISBLANK(BG7),IF(MOD(A7,2),LOOKUP(E135,AK7:AQ182),LOOKUP(E135,AU:BA)),IF(C27&gt;2,LOOKUP(E135,BE:BK),IF(C27=2,LOOKUP(E135,AU:BA),LOOKUP(E135,AK:AQ))))</f>
        <v>2 Samuel 4:1-12,</v>
      </c>
      <c r="L135" s="264" t="str">
        <f>IF(ISBLANK(BG7),IF(MOD(A7,2),LOOKUP(E135,AK7:AR182),LOOKUP(E135,AU:BB)),IF(C27&gt;2,LOOKUP(E135,BE:BL),IF(C27=2,LOOKUP(E135,AU:BB),LOOKUP(E135,AK:AR))))</f>
        <v>2 Samuel 5:1-12,</v>
      </c>
      <c r="M135" s="264" t="str">
        <f>IF(ISBLANK(BG7),IF(MOD(A7,2),LOOKUP(E135,AK7:AS182),LOOKUP(E135,AU:BC)),IF(C27&gt;2,LOOKUP(E135,BE:BM),IF(C27=2,LOOKUP(E135,AU:BC),LOOKUP(E135,AK:AS))))</f>
        <v>2 Samuel 5:22-6:11,</v>
      </c>
      <c r="N135" s="291" t="s">
        <v>2518</v>
      </c>
      <c r="O135" s="56">
        <f>D135</f>
        <v>41490</v>
      </c>
      <c r="Z135" s="12"/>
      <c r="AK135" s="2">
        <v>128</v>
      </c>
      <c r="AL135" s="245" t="s">
        <v>2519</v>
      </c>
      <c r="AM135" s="64" t="s">
        <v>2520</v>
      </c>
      <c r="AN135" s="64" t="s">
        <v>262</v>
      </c>
      <c r="AO135" s="63" t="s">
        <v>263</v>
      </c>
      <c r="AP135" s="64" t="s">
        <v>2521</v>
      </c>
      <c r="AQ135" s="63" t="s">
        <v>2522</v>
      </c>
      <c r="AR135" s="64" t="s">
        <v>2523</v>
      </c>
      <c r="AS135" s="144" t="s">
        <v>2524</v>
      </c>
      <c r="AU135" s="2">
        <v>128</v>
      </c>
      <c r="AV135" s="245" t="s">
        <v>2519</v>
      </c>
      <c r="AW135" s="91" t="s">
        <v>2525</v>
      </c>
      <c r="AX135" s="90" t="s">
        <v>2526</v>
      </c>
      <c r="AY135" s="91" t="s">
        <v>2527</v>
      </c>
      <c r="AZ135" s="90" t="s">
        <v>2528</v>
      </c>
      <c r="BA135" s="91" t="s">
        <v>2529</v>
      </c>
      <c r="BB135" s="90" t="s">
        <v>2530</v>
      </c>
      <c r="BC135" s="91" t="s">
        <v>2531</v>
      </c>
      <c r="BE135" s="2">
        <v>128</v>
      </c>
      <c r="BF135" s="245" t="s">
        <v>2519</v>
      </c>
      <c r="BG135" s="68" t="s">
        <v>2532</v>
      </c>
      <c r="BH135" s="69" t="s">
        <v>2533</v>
      </c>
      <c r="BI135" s="68" t="s">
        <v>2534</v>
      </c>
      <c r="BJ135" s="69" t="s">
        <v>2535</v>
      </c>
      <c r="BK135" s="69" t="s">
        <v>2536</v>
      </c>
      <c r="BL135" s="69" t="s">
        <v>2537</v>
      </c>
      <c r="BM135" s="69" t="s">
        <v>2538</v>
      </c>
    </row>
    <row r="136" spans="2:65" ht="12.75">
      <c r="B136" s="4"/>
      <c r="C136" s="4"/>
      <c r="D136" s="138"/>
      <c r="E136" s="73">
        <v>126</v>
      </c>
      <c r="F136" s="296"/>
      <c r="G136" s="271" t="str">
        <f>IF(ISBLANK(BG7),IF(MOD(A7,2),LOOKUP(E136,AK7:AM182),LOOKUP(E136,AU:AW)),IF(C27&gt;2,LOOKUP(E136,BE:BG),IF(C27=2,LOOKUP(E136,AU:AW),LOOKUP(E136,AK:AM))))</f>
        <v>Romans 12:9-21,</v>
      </c>
      <c r="H136" s="111" t="str">
        <f>IF(ISBLANK(BG7),IF(MOD(A7,2),LOOKUP(E136,AK7:AN182),LOOKUP(E136,AU:AX)),IF(C27&gt;2,LOOKUP(E136,BE:BH),IF(C27=2,LOOKUP(E136,AU:AX),LOOKUP(E136,AK:AN))))</f>
        <v>Acts 15:36-16:5,</v>
      </c>
      <c r="I136" s="111" t="str">
        <f>IF(ISBLANK(BG7),IF(MOD(A7,2),LOOKUP(E136,AK7:AO182),LOOKUP(E136,AU:AY)),IF(C27&gt;2,LOOKUP(E136,BE:BI),IF(C27=2,LOOKUP(E136,AU:AY),LOOKUP(E136,AK:AO))))</f>
        <v>Acts 16:6-15,</v>
      </c>
      <c r="J136" s="111" t="str">
        <f>IF(ISBLANK(BG7),IF(MOD(A7,2),LOOKUP(E136,AK7:AP182),LOOKUP(E136,AU:AZ)),IF(C27&gt;2,LOOKUP(E136,BE:BJ),IF(C27=2,LOOKUP(E136,AU:AZ),LOOKUP(E136,AK:AP))))</f>
        <v>Acts 16:16-24,</v>
      </c>
      <c r="K136" s="111" t="str">
        <f>IF(ISBLANK(BG7),IF(MOD(A7,2),LOOKUP(E136,AK7:AQ182),LOOKUP(E136,AU:BA)),IF(C27&gt;2,LOOKUP(E136,BE:BK),IF(C27=2,LOOKUP(E136,AU:BA),LOOKUP(E136,AK:AQ))))</f>
        <v>Acts 16:25-40,</v>
      </c>
      <c r="L136" s="111" t="str">
        <f>IF(ISBLANK(BG7),IF(MOD(A7,2),LOOKUP(E136,AK7:AR182),LOOKUP(E136,AU:BB)),IF(C27&gt;2,LOOKUP(E136,BE:BL),IF(C27=2,LOOKUP(E136,AU:BB),LOOKUP(E136,AK:AR))))</f>
        <v>Acts 17:1-15,</v>
      </c>
      <c r="M136" s="111" t="str">
        <f>IF(ISBLANK(BG7),IF(MOD(A7,2),LOOKUP(E136,AK7:AS182),LOOKUP(E136,AU:BC)),IF(C27&gt;2,LOOKUP(E136,BE:BM),IF(C27=2,LOOKUP(E136,AU:BC),LOOKUP(E136,AK:AS))))</f>
        <v>Acts 17:16-34,</v>
      </c>
      <c r="N136" s="292"/>
      <c r="O136" s="78"/>
      <c r="Z136" s="12"/>
      <c r="AK136" s="2">
        <v>129</v>
      </c>
      <c r="AL136" s="13" t="s">
        <v>2539</v>
      </c>
      <c r="AM136" s="64" t="s">
        <v>2540</v>
      </c>
      <c r="AN136" s="64" t="s">
        <v>2541</v>
      </c>
      <c r="AO136" s="63" t="s">
        <v>2542</v>
      </c>
      <c r="AP136" s="64" t="s">
        <v>2543</v>
      </c>
      <c r="AQ136" s="63" t="s">
        <v>2332</v>
      </c>
      <c r="AR136" s="64" t="s">
        <v>2544</v>
      </c>
      <c r="AS136" s="144" t="s">
        <v>2545</v>
      </c>
      <c r="AU136" s="2">
        <v>129</v>
      </c>
      <c r="AV136" s="13" t="s">
        <v>2539</v>
      </c>
      <c r="AW136" s="67" t="s">
        <v>2546</v>
      </c>
      <c r="AX136" s="66" t="s">
        <v>2160</v>
      </c>
      <c r="AY136" s="67" t="s">
        <v>2547</v>
      </c>
      <c r="AZ136" s="66" t="s">
        <v>2548</v>
      </c>
      <c r="BA136" s="67" t="s">
        <v>1504</v>
      </c>
      <c r="BB136" s="66" t="s">
        <v>2549</v>
      </c>
      <c r="BC136" s="67" t="s">
        <v>2161</v>
      </c>
      <c r="BE136" s="2">
        <v>129</v>
      </c>
      <c r="BF136" s="13" t="s">
        <v>2539</v>
      </c>
      <c r="BG136" s="68" t="s">
        <v>2550</v>
      </c>
      <c r="BH136" s="69" t="s">
        <v>2551</v>
      </c>
      <c r="BI136" s="68" t="s">
        <v>2552</v>
      </c>
      <c r="BJ136" s="69" t="s">
        <v>2553</v>
      </c>
      <c r="BK136" s="69" t="s">
        <v>2554</v>
      </c>
      <c r="BL136" s="69" t="s">
        <v>2555</v>
      </c>
      <c r="BM136" s="69" t="s">
        <v>2556</v>
      </c>
    </row>
    <row r="137" spans="2:65" ht="12.75">
      <c r="B137" s="4"/>
      <c r="C137" s="4"/>
      <c r="D137" s="256"/>
      <c r="E137" s="266">
        <v>127</v>
      </c>
      <c r="F137" s="297"/>
      <c r="G137" s="280" t="str">
        <f>IF(ISBLANK(BG7),IF(MOD(A7,2),LOOKUP(E137,AK7:AM182),LOOKUP(E137,AU:AW)),IF(C27&gt;2,LOOKUP(E137,BE:BG),IF(C27=2,LOOKUP(E137,AU:AW),LOOKUP(E137,AK:AM))))</f>
        <v>Matthew 25:31-46</v>
      </c>
      <c r="H137" s="260" t="str">
        <f>IF(ISBLANK(BG7),IF(MOD(A7,2),LOOKUP(E137,AK7:AN182),LOOKUP(E137,AU:AX)),IF(C27&gt;2,LOOKUP(E137,BE:BH),IF(C27=2,LOOKUP(E137,AU:AX),LOOKUP(E137,AK:AN))))</f>
        <v>Mark 6:14-29</v>
      </c>
      <c r="I137" s="260" t="str">
        <f>IF(ISBLANK(BG7),IF(MOD(A7,2),LOOKUP(E137,AK7:AO182),LOOKUP(E137,AU:AY)),IF(C27&gt;2,LOOKUP(E137,BE:BI),IF(C27=2,LOOKUP(E137,AU:AY),LOOKUP(E137,AK:AO))))</f>
        <v>Mark 6:30-46</v>
      </c>
      <c r="J137" s="260" t="str">
        <f>IF(ISBLANK(BG7),IF(MOD(A7,2),LOOKUP(E137,AK7:AP182),LOOKUP(E137,AU:AZ)),IF(C27&gt;2,LOOKUP(E137,BE:BJ),IF(C27=2,LOOKUP(E137,AU:AZ),LOOKUP(E137,AK:AP))))</f>
        <v>Mark 6:47-56</v>
      </c>
      <c r="K137" s="260" t="str">
        <f>IF(ISBLANK(BG7),IF(MOD(A7,2),LOOKUP(E137,AK7:AQ182),LOOKUP(E137,AU:BA)),IF(C27&gt;2,LOOKUP(E137,BE:BK),IF(C27=2,LOOKUP(E137,AU:BA),LOOKUP(E137,AK:AQ))))</f>
        <v>Mark 7:1-23</v>
      </c>
      <c r="L137" s="260" t="str">
        <f>IF(ISBLANK(BG7),IF(MOD(A7,2),LOOKUP(E137,AK7:AR182),LOOKUP(E137,AU:BB)),IF(C27&gt;2,LOOKUP(E137,BE:BL),IF(C27=2,LOOKUP(E137,AU:BB),LOOKUP(E137,AK:AR))))</f>
        <v>Mark 7:24-37</v>
      </c>
      <c r="M137" s="260" t="str">
        <f>IF(ISBLANK(BG7),IF(MOD(A7,2),LOOKUP(E137,AK7:AS182),LOOKUP(E137,AU:BC)),IF(C27&gt;2,LOOKUP(E137,BE:BM),IF(C27=2,LOOKUP(E137,AU:BC),LOOKUP(E137,AK:AS))))</f>
        <v>Mark 8:1-10</v>
      </c>
      <c r="N137" s="293"/>
      <c r="O137" s="99"/>
      <c r="Z137" s="12"/>
      <c r="AK137" s="2">
        <v>130</v>
      </c>
      <c r="AL137" s="248" t="s">
        <v>2557</v>
      </c>
      <c r="AM137" s="64" t="s">
        <v>594</v>
      </c>
      <c r="AN137" s="64" t="s">
        <v>1339</v>
      </c>
      <c r="AO137" s="63" t="s">
        <v>2558</v>
      </c>
      <c r="AP137" s="64" t="s">
        <v>2559</v>
      </c>
      <c r="AQ137" s="63" t="s">
        <v>784</v>
      </c>
      <c r="AR137" s="64" t="s">
        <v>2560</v>
      </c>
      <c r="AS137" s="144" t="s">
        <v>848</v>
      </c>
      <c r="AU137" s="2">
        <v>130</v>
      </c>
      <c r="AV137" s="248" t="s">
        <v>2557</v>
      </c>
      <c r="AW137" s="104" t="s">
        <v>2561</v>
      </c>
      <c r="AX137" s="103" t="s">
        <v>591</v>
      </c>
      <c r="AY137" s="104" t="s">
        <v>592</v>
      </c>
      <c r="AZ137" s="103" t="s">
        <v>2562</v>
      </c>
      <c r="BA137" s="104" t="s">
        <v>594</v>
      </c>
      <c r="BB137" s="103" t="s">
        <v>595</v>
      </c>
      <c r="BC137" s="104" t="s">
        <v>2563</v>
      </c>
      <c r="BE137" s="2">
        <v>130</v>
      </c>
      <c r="BF137" s="248" t="s">
        <v>2557</v>
      </c>
      <c r="BG137" s="68" t="s">
        <v>2564</v>
      </c>
      <c r="BH137" s="69" t="s">
        <v>2565</v>
      </c>
      <c r="BI137" s="68" t="s">
        <v>2566</v>
      </c>
      <c r="BJ137" s="69" t="s">
        <v>2567</v>
      </c>
      <c r="BK137" s="69" t="s">
        <v>2568</v>
      </c>
      <c r="BL137" s="69" t="s">
        <v>2569</v>
      </c>
      <c r="BM137" s="69" t="s">
        <v>2570</v>
      </c>
    </row>
    <row r="138" spans="2:65" ht="12.75">
      <c r="B138" s="4"/>
      <c r="C138" s="4"/>
      <c r="D138" s="138">
        <f>B19+84</f>
        <v>41497</v>
      </c>
      <c r="E138" s="73">
        <v>128</v>
      </c>
      <c r="F138" s="262" t="s">
        <v>2571</v>
      </c>
      <c r="G138" s="107" t="str">
        <f>IF(ISBLANK(BG7),IF(MOD(A7,2),LOOKUP(E138,AK7:AM182),LOOKUP(E138,AU:AW)),IF(C27&gt;2,LOOKUP(E138,BE:BG),IF(C27=2,LOOKUP(E138,AU:AW),LOOKUP(E138,AK:AM))))</f>
        <v>2 Samuel 6:12-23,</v>
      </c>
      <c r="H138" s="264" t="str">
        <f>IF(ISBLANK(BG7),IF(MOD(A7,2),LOOKUP(E138,AK7:AN182),LOOKUP(E138,AU:AX)),IF(C27&gt;2,LOOKUP(E138,BE:BH),IF(C27=2,LOOKUP(E138,AU:AX),LOOKUP(E138,AK:AN))))</f>
        <v>2 Samuel 7:1-17,</v>
      </c>
      <c r="I138" s="264" t="str">
        <f>IF(ISBLANK(BG7),IF(MOD(A7,2),LOOKUP(E138,AK7:AO182),LOOKUP(E138,AU:AY)),IF(C27&gt;2,LOOKUP(E138,BE:BI),IF(C27=2,LOOKUP(E138,AU:AY),LOOKUP(E138,AK:AO))))</f>
        <v>2 Samuel 7:18-29,</v>
      </c>
      <c r="J138" s="264" t="str">
        <f>IF(ISBLANK(BG7),IF(MOD(A7,2),LOOKUP(E138,AK7:AP182),LOOKUP(E138,AU:AZ)),IF(C27&gt;2,LOOKUP(E138,BE:BJ),IF(C27=2,LOOKUP(E138,AU:AZ),LOOKUP(E138,AK:AP))))</f>
        <v>2 Samuel 9:1-13,</v>
      </c>
      <c r="K138" s="264" t="str">
        <f>IF(ISBLANK(BG7),IF(MOD(A7,2),LOOKUP(E138,AK7:AQ182),LOOKUP(E138,AU:BA)),IF(C27&gt;2,LOOKUP(E138,BE:BK),IF(C27=2,LOOKUP(E138,AU:BA),LOOKUP(E138,AK:AQ))))</f>
        <v>2 Samuel 11:1-27,</v>
      </c>
      <c r="L138" s="264" t="str">
        <f>IF(ISBLANK(BG7),IF(MOD(A7,2),LOOKUP(E138,AK7:AR182),LOOKUP(E138,AU:BB)),IF(C27&gt;2,LOOKUP(E138,BE:BL),IF(C27=2,LOOKUP(E138,AU:BB),LOOKUP(E138,AK:AR))))</f>
        <v>2 Samuel 12:1-14,</v>
      </c>
      <c r="M138" s="298" t="str">
        <f>IF(ISBLANK(BG7),IF(MOD(A7,2),LOOKUP(E138,AK7:AS182),LOOKUP(E138,AU:BC)),IF(C27&gt;2,LOOKUP(E138,BE:BM),IF(C27=2,LOOKUP(E138,AU:BC),LOOKUP(E138,AK:AS))))</f>
        <v>2 Samuel 12:15-31,</v>
      </c>
      <c r="N138" s="292" t="s">
        <v>2571</v>
      </c>
      <c r="O138" s="109">
        <f>D138</f>
        <v>41497</v>
      </c>
      <c r="Z138" s="12"/>
      <c r="AK138" s="2">
        <v>131</v>
      </c>
      <c r="AL138" s="13" t="s">
        <v>2572</v>
      </c>
      <c r="AM138" s="89" t="s">
        <v>2573</v>
      </c>
      <c r="AN138" s="89" t="s">
        <v>2574</v>
      </c>
      <c r="AO138" s="88" t="s">
        <v>2575</v>
      </c>
      <c r="AP138" s="89" t="s">
        <v>2576</v>
      </c>
      <c r="AQ138" s="88" t="s">
        <v>2577</v>
      </c>
      <c r="AR138" s="89" t="s">
        <v>2578</v>
      </c>
      <c r="AS138" s="242" t="s">
        <v>2579</v>
      </c>
      <c r="AU138" s="2">
        <v>131</v>
      </c>
      <c r="AV138" s="13" t="s">
        <v>2572</v>
      </c>
      <c r="AW138" s="67" t="s">
        <v>2580</v>
      </c>
      <c r="AX138" s="66" t="s">
        <v>2581</v>
      </c>
      <c r="AY138" s="67" t="s">
        <v>2582</v>
      </c>
      <c r="AZ138" s="66" t="s">
        <v>2583</v>
      </c>
      <c r="BA138" s="67" t="s">
        <v>2584</v>
      </c>
      <c r="BB138" s="66" t="s">
        <v>2585</v>
      </c>
      <c r="BC138" s="67" t="s">
        <v>2586</v>
      </c>
      <c r="BE138" s="2">
        <v>131</v>
      </c>
      <c r="BF138" s="13" t="s">
        <v>2572</v>
      </c>
      <c r="BG138" s="68" t="s">
        <v>2587</v>
      </c>
      <c r="BH138" s="69" t="s">
        <v>2588</v>
      </c>
      <c r="BI138" s="68" t="s">
        <v>2589</v>
      </c>
      <c r="BJ138" s="69" t="s">
        <v>2590</v>
      </c>
      <c r="BK138" s="69" t="s">
        <v>2591</v>
      </c>
      <c r="BL138" s="69" t="s">
        <v>2592</v>
      </c>
      <c r="BM138" s="69" t="s">
        <v>2593</v>
      </c>
    </row>
    <row r="139" spans="2:65" ht="12.75">
      <c r="B139" s="4"/>
      <c r="C139" s="4"/>
      <c r="D139" s="138"/>
      <c r="E139" s="73">
        <v>129</v>
      </c>
      <c r="F139" s="250"/>
      <c r="G139" s="255" t="str">
        <f>IF(ISBLANK(BG7),IF(MOD(A7,2),LOOKUP(E139,AK7:AM182),LOOKUP(E139,AU:AW)),IF(C27&gt;2,LOOKUP(E139,BE:BG),IF(C27=2,LOOKUP(E139,AU:AW),LOOKUP(E139,AK:AM))))</f>
        <v>Romans 14:7-12,</v>
      </c>
      <c r="H139" s="111" t="str">
        <f>IF(ISBLANK(BG7),IF(MOD(A7,2),LOOKUP(E139,AK7:AN182),LOOKUP(E139,AU:AX)),IF(C27&gt;2,LOOKUP(E139,BE:BH),IF(C27=2,LOOKUP(E139,AU:AX),LOOKUP(E139,AK:AN))))</f>
        <v>Acts 18:1-11,</v>
      </c>
      <c r="I139" s="111" t="str">
        <f>IF(ISBLANK(BG7),IF(MOD(A7,2),LOOKUP(E139,AK7:AO182),LOOKUP(E139,AU:AY)),IF(C27&gt;2,LOOKUP(E139,BE:BI),IF(C27=2,LOOKUP(E139,AU:AY),LOOKUP(E139,AK:AO))))</f>
        <v>Acts 18:12-28,</v>
      </c>
      <c r="J139" s="111" t="str">
        <f>IF(ISBLANK(BG7),IF(MOD(A7,2),LOOKUP(E139,AK7:AP182),LOOKUP(E139,AU:AZ)),IF(C27&gt;2,LOOKUP(E139,BE:BJ),IF(C27=2,LOOKUP(E139,AU:AZ),LOOKUP(E139,AK:AP))))</f>
        <v>Acts 19:1-10,</v>
      </c>
      <c r="K139" s="111" t="str">
        <f>IF(ISBLANK(BG7),IF(MOD(A7,2),LOOKUP(E139,AK7:AQ182),LOOKUP(E139,AU:BA)),IF(C27&gt;2,LOOKUP(E139,BE:BK),IF(C27=2,LOOKUP(E139,AU:BA),LOOKUP(E139,AK:AQ))))</f>
        <v>Acts 19:11-20,</v>
      </c>
      <c r="L139" s="111" t="str">
        <f>IF(ISBLANK(BG7),IF(MOD(A7,2),LOOKUP(E139,AK7:AR182),LOOKUP(E139,AU:BB)),IF(C27&gt;2,LOOKUP(E139,BE:BL),IF(C27=2,LOOKUP(E139,AU:BB),LOOKUP(E139,AK:AR))))</f>
        <v>Acts 19:21-41,</v>
      </c>
      <c r="M139" s="111" t="str">
        <f>IF(ISBLANK(BG7),IF(MOD(A7,2),LOOKUP(E139,AK7:AS182),LOOKUP(E139,AU:BC)),IF(C27&gt;2,LOOKUP(E139,BE:BM),IF(C27=2,LOOKUP(E139,AU:BC),LOOKUP(E139,AK:AS))))</f>
        <v>Acts 20:1-16,</v>
      </c>
      <c r="N139" s="292"/>
      <c r="O139" s="78"/>
      <c r="Z139" s="12"/>
      <c r="AK139" s="2">
        <v>132</v>
      </c>
      <c r="AL139" s="13" t="s">
        <v>2594</v>
      </c>
      <c r="AM139" s="64" t="s">
        <v>1741</v>
      </c>
      <c r="AN139" s="64" t="s">
        <v>2595</v>
      </c>
      <c r="AO139" s="63" t="s">
        <v>2596</v>
      </c>
      <c r="AP139" s="64" t="s">
        <v>2597</v>
      </c>
      <c r="AQ139" s="63" t="s">
        <v>2598</v>
      </c>
      <c r="AR139" s="64" t="s">
        <v>2599</v>
      </c>
      <c r="AS139" s="144" t="s">
        <v>2600</v>
      </c>
      <c r="AU139" s="2">
        <v>132</v>
      </c>
      <c r="AV139" s="13" t="s">
        <v>2594</v>
      </c>
      <c r="AW139" s="67" t="s">
        <v>2601</v>
      </c>
      <c r="AX139" s="66" t="s">
        <v>2602</v>
      </c>
      <c r="AY139" s="67" t="s">
        <v>2215</v>
      </c>
      <c r="AZ139" s="66" t="s">
        <v>2216</v>
      </c>
      <c r="BA139" s="67" t="s">
        <v>2217</v>
      </c>
      <c r="BB139" s="66" t="s">
        <v>2218</v>
      </c>
      <c r="BC139" s="67" t="s">
        <v>2219</v>
      </c>
      <c r="BE139" s="2">
        <v>132</v>
      </c>
      <c r="BF139" s="13" t="s">
        <v>2594</v>
      </c>
      <c r="BG139" s="68" t="s">
        <v>2603</v>
      </c>
      <c r="BH139" s="69" t="s">
        <v>2604</v>
      </c>
      <c r="BI139" s="68" t="s">
        <v>2605</v>
      </c>
      <c r="BJ139" s="69" t="s">
        <v>2606</v>
      </c>
      <c r="BK139" s="69" t="s">
        <v>2607</v>
      </c>
      <c r="BL139" s="69" t="s">
        <v>2608</v>
      </c>
      <c r="BM139" s="69" t="s">
        <v>2609</v>
      </c>
    </row>
    <row r="140" spans="2:65" ht="12.75">
      <c r="B140" s="4"/>
      <c r="C140" s="4"/>
      <c r="D140" s="138"/>
      <c r="E140" s="73">
        <v>130</v>
      </c>
      <c r="F140" s="258"/>
      <c r="G140" s="199" t="str">
        <f>IF(ISBLANK(BG7),IF(MOD(A7,2),LOOKUP(E140,AK7:AM182),LOOKUP(E140,AU:AW)),IF(C27&gt;2,LOOKUP(E140,BE:BG),IF(C27=2,LOOKUP(E140,AU:AW),LOOKUP(E140,AK:AM))))</f>
        <v>John 1:43-51</v>
      </c>
      <c r="H140" s="260" t="str">
        <f>IF(ISBLANK(BG7),IF(MOD(A7,2),LOOKUP(E140,AK7:AN182),LOOKUP(E140,AU:AX)),IF(C27&gt;2,LOOKUP(E140,BE:BH),IF(C27=2,LOOKUP(E140,AU:AX),LOOKUP(E140,AK:AN))))</f>
        <v>Mark 8:11-21</v>
      </c>
      <c r="I140" s="260" t="str">
        <f>IF(ISBLANK(BG7),IF(MOD(A7,2),LOOKUP(E140,AK7:AO182),LOOKUP(E140,AU:AY)),IF(C27&gt;2,LOOKUP(E140,BE:BI),IF(C27=2,LOOKUP(E140,AU:AY),LOOKUP(E140,AK:AO))))</f>
        <v>Mark 8:22-33</v>
      </c>
      <c r="J140" s="260" t="str">
        <f>IF(ISBLANK(BG7),IF(MOD(A7,2),LOOKUP(E140,AK7:AP182),LOOKUP(E140,AU:AZ)),IF(C27&gt;2,LOOKUP(E140,BE:BJ),IF(C27=2,LOOKUP(E140,AU:AZ),LOOKUP(E140,AK:AP))))</f>
        <v>Mark 8:34-9:1</v>
      </c>
      <c r="K140" s="260" t="str">
        <f>IF(ISBLANK(BG7),IF(MOD(A7,2),LOOKUP(E140,AK7:AQ182),LOOKUP(E140,AU:BA)),IF(C27&gt;2,LOOKUP(E140,BE:BK),IF(C27=2,LOOKUP(E140,AU:BA),LOOKUP(E140,AK:AQ))))</f>
        <v>Mark 9:2-13</v>
      </c>
      <c r="L140" s="260" t="str">
        <f>IF(ISBLANK(BG7),IF(MOD(A7,2),LOOKUP(E140,AK7:AR182),LOOKUP(E140,AU:BB)),IF(C27&gt;2,LOOKUP(E140,BE:BL),IF(C27=2,LOOKUP(E140,AU:BB),LOOKUP(E140,AK:AR))))</f>
        <v>Mark9:14-29</v>
      </c>
      <c r="M140" s="260" t="str">
        <f>IF(ISBLANK(BG7),IF(MOD(A7,2),LOOKUP(E140,AK7:AS182),LOOKUP(E140,AU:BC)),IF(C27&gt;2,LOOKUP(E140,BE:BM),IF(C27=2,LOOKUP(E140,AU:BC),LOOKUP(E140,AK:AS))))</f>
        <v>Mark 9:30-41</v>
      </c>
      <c r="N140" s="292"/>
      <c r="O140" s="78"/>
      <c r="Z140" s="12"/>
      <c r="AK140" s="2">
        <v>133</v>
      </c>
      <c r="AL140" s="13" t="s">
        <v>2610</v>
      </c>
      <c r="AM140" s="102" t="s">
        <v>661</v>
      </c>
      <c r="AN140" s="102" t="s">
        <v>849</v>
      </c>
      <c r="AO140" s="101" t="s">
        <v>850</v>
      </c>
      <c r="AP140" s="102" t="s">
        <v>851</v>
      </c>
      <c r="AQ140" s="101" t="s">
        <v>852</v>
      </c>
      <c r="AR140" s="102" t="s">
        <v>853</v>
      </c>
      <c r="AS140" s="249" t="s">
        <v>912</v>
      </c>
      <c r="AU140" s="2">
        <v>133</v>
      </c>
      <c r="AV140" s="13" t="s">
        <v>2610</v>
      </c>
      <c r="AW140" s="67" t="s">
        <v>657</v>
      </c>
      <c r="AX140" s="66" t="s">
        <v>2611</v>
      </c>
      <c r="AY140" s="67" t="s">
        <v>661</v>
      </c>
      <c r="AZ140" s="66" t="s">
        <v>2612</v>
      </c>
      <c r="BA140" s="67" t="s">
        <v>652</v>
      </c>
      <c r="BB140" s="66" t="s">
        <v>723</v>
      </c>
      <c r="BC140" s="67" t="s">
        <v>724</v>
      </c>
      <c r="BE140" s="2">
        <v>133</v>
      </c>
      <c r="BF140" s="13" t="s">
        <v>2610</v>
      </c>
      <c r="BG140" s="68" t="s">
        <v>2613</v>
      </c>
      <c r="BH140" s="69" t="s">
        <v>2614</v>
      </c>
      <c r="BI140" s="68" t="s">
        <v>2615</v>
      </c>
      <c r="BJ140" s="69" t="s">
        <v>2616</v>
      </c>
      <c r="BK140" s="69" t="s">
        <v>2617</v>
      </c>
      <c r="BL140" s="69" t="s">
        <v>2618</v>
      </c>
      <c r="BM140" s="69" t="s">
        <v>2619</v>
      </c>
    </row>
    <row r="141" spans="2:65" ht="12.75">
      <c r="B141" s="4"/>
      <c r="C141" s="4"/>
      <c r="D141" s="254">
        <f>B19+91</f>
        <v>41504</v>
      </c>
      <c r="E141" s="261">
        <v>131</v>
      </c>
      <c r="F141" s="262" t="s">
        <v>2620</v>
      </c>
      <c r="G141" s="107" t="str">
        <f>IF(ISBLANK(BG7),IF(MOD(A7,2),LOOKUP(E141,AK7:AM182),LOOKUP(E141,AU:AW)),IF(C27&gt;2,LOOKUP(E141,BE:BG),IF(C27=2,LOOKUP(E141,AU:AW),LOOKUP(E141,AK:AM))))</f>
        <v>2 Samuel 13:1-22,</v>
      </c>
      <c r="H141" s="264" t="str">
        <f>IF(ISBLANK(BG7),IF(MOD(A7,2),LOOKUP(E141,AK7:AN182),LOOKUP(E141,AU:AX)),IF(C27&gt;2,LOOKUP(E141,BE:BH),IF(C27=2,LOOKUP(E141,AU:AX),LOOKUP(E141,AK:AN))))</f>
        <v>2 Samuel 13:23-39,</v>
      </c>
      <c r="I141" s="264" t="str">
        <f>IF(ISBLANK(BG7),IF(MOD(A7,2),LOOKUP(E141,AK7:AO182),LOOKUP(E141,AU:AY)),IF(C27&gt;2,LOOKUP(E141,BE:BI),IF(C27=2,LOOKUP(E141,AU:AY),LOOKUP(E141,AK:AO))))</f>
        <v>2 Samuel 14:1-20,</v>
      </c>
      <c r="J141" s="298" t="str">
        <f>IF(ISBLANK(BG7),IF(MOD(A7,2),LOOKUP(E141,AK7:AP182),LOOKUP(E141,AU:AZ)),IF(C27&gt;2,LOOKUP(E141,BE:BJ),IF(C27=2,LOOKUP(E141,AU:AZ),LOOKUP(E141,AK:AP))))</f>
        <v>2 Samuel 14:21-33,</v>
      </c>
      <c r="K141" s="264" t="str">
        <f>IF(ISBLANK(BG7),IF(MOD(A7,2),LOOKUP(E141,AK7:AQ182),LOOKUP(E141,AU:BA)),IF(C27&gt;2,LOOKUP(E141,BE:BK),IF(C27=2,LOOKUP(E141,AU:BA),LOOKUP(E141,AK:AQ))))</f>
        <v>2 Samuel 15:1-18,</v>
      </c>
      <c r="L141" s="264" t="str">
        <f>IF(ISBLANK(BG7),IF(MOD(A7,2),LOOKUP(E141,AK7:AR182),LOOKUP(E141,AU:BB)),IF(C27&gt;2,LOOKUP(E141,BE:BL),IF(C27=2,LOOKUP(E141,AU:BB),LOOKUP(E141,AK:AR))))</f>
        <v>2 Samuel 15:19-37,</v>
      </c>
      <c r="M141" s="298" t="str">
        <f>IF(ISBLANK(BG7),IF(MOD(A7,2),LOOKUP(E141,AK7:AS182),LOOKUP(E141,AU:BC)),IF(C27&gt;2,LOOKUP(E141,BE:BM),IF(C27=2,LOOKUP(E141,AU:BC),LOOKUP(E141,AK:AS))))</f>
        <v>2 Samuel 16:1-23,</v>
      </c>
      <c r="N141" s="291" t="s">
        <v>2620</v>
      </c>
      <c r="O141" s="56">
        <f>D141</f>
        <v>41504</v>
      </c>
      <c r="Z141" s="12"/>
      <c r="AK141" s="2">
        <v>134</v>
      </c>
      <c r="AL141" s="245" t="s">
        <v>2621</v>
      </c>
      <c r="AM141" s="64" t="s">
        <v>2622</v>
      </c>
      <c r="AN141" s="64" t="s">
        <v>2623</v>
      </c>
      <c r="AO141" s="63" t="s">
        <v>2624</v>
      </c>
      <c r="AP141" s="64" t="s">
        <v>2625</v>
      </c>
      <c r="AQ141" s="63" t="s">
        <v>2626</v>
      </c>
      <c r="AR141" s="64" t="s">
        <v>2627</v>
      </c>
      <c r="AS141" s="144" t="s">
        <v>2628</v>
      </c>
      <c r="AU141" s="2">
        <v>134</v>
      </c>
      <c r="AV141" s="245" t="s">
        <v>2621</v>
      </c>
      <c r="AW141" s="91" t="s">
        <v>2629</v>
      </c>
      <c r="AX141" s="90" t="s">
        <v>2630</v>
      </c>
      <c r="AY141" s="91" t="s">
        <v>2631</v>
      </c>
      <c r="AZ141" s="90" t="s">
        <v>2632</v>
      </c>
      <c r="BA141" s="91" t="s">
        <v>2633</v>
      </c>
      <c r="BB141" s="90" t="s">
        <v>2634</v>
      </c>
      <c r="BC141" s="91" t="s">
        <v>2635</v>
      </c>
      <c r="BE141" s="2">
        <v>134</v>
      </c>
      <c r="BF141" s="245" t="s">
        <v>2621</v>
      </c>
      <c r="BG141" s="68" t="s">
        <v>2636</v>
      </c>
      <c r="BH141" s="69" t="s">
        <v>2637</v>
      </c>
      <c r="BI141" s="68" t="s">
        <v>2638</v>
      </c>
      <c r="BJ141" s="69" t="s">
        <v>2639</v>
      </c>
      <c r="BK141" s="69" t="s">
        <v>2640</v>
      </c>
      <c r="BL141" s="69" t="s">
        <v>2641</v>
      </c>
      <c r="BM141" s="69" t="s">
        <v>2642</v>
      </c>
    </row>
    <row r="142" spans="2:65" ht="12.75">
      <c r="B142" s="4"/>
      <c r="C142" s="4"/>
      <c r="D142" s="138"/>
      <c r="E142" s="73">
        <v>132</v>
      </c>
      <c r="F142" s="250"/>
      <c r="G142" s="255" t="str">
        <f>IF(ISBLANK(BG7),IF(MOD(A7,2),LOOKUP(E142,AK7:AM182),LOOKUP(E142,AU:AW)),IF(C27&gt;2,LOOKUP(E142,BE:BG),IF(C27=2,LOOKUP(E142,AU:AW),LOOKUP(E142,AK:AM))))</f>
        <v>Romans 15:1-13,</v>
      </c>
      <c r="H142" s="111" t="str">
        <f>IF(ISBLANK(BG7),IF(MOD(A7,2),LOOKUP(E142,AK7:AN182),LOOKUP(E142,AU:AX)),IF(C27&gt;2,LOOKUP(E142,BE:BH),IF(C27=2,LOOKUP(E142,AU:AX),LOOKUP(E142,AK:AN))))</f>
        <v>Acts 20:17-38,</v>
      </c>
      <c r="I142" s="111" t="str">
        <f>IF(ISBLANK(BG7),IF(MOD(A7,2),LOOKUP(E142,AK7:AO182),LOOKUP(E142,AU:AY)),IF(C27&gt;2,LOOKUP(E142,BE:BI),IF(C27=2,LOOKUP(E142,AU:AY),LOOKUP(E142,AK:AO))))</f>
        <v>Acts 21:1-14,</v>
      </c>
      <c r="J142" s="178" t="str">
        <f>IF(ISBLANK(BG7),IF(MOD(A7,2),LOOKUP(E142,AK7:AP182),LOOKUP(E142,AU:AZ)),IF(C27&gt;2,LOOKUP(E142,BE:BJ),IF(C27=2,LOOKUP(E142,AU:AZ),LOOKUP(E142,AK:AP))))</f>
        <v>Acts 21:15-26,</v>
      </c>
      <c r="K142" s="111" t="str">
        <f>IF(ISBLANK(BG7),IF(MOD(A7,2),LOOKUP(E142,AK7:AQ182),LOOKUP(E142,AU:BA)),IF(C27&gt;2,LOOKUP(E142,BE:BK),IF(C27=2,LOOKUP(E142,AU:BA),LOOKUP(E142,AK:AQ))))</f>
        <v>Acts 21:27-36,</v>
      </c>
      <c r="L142" s="111" t="str">
        <f>IF(ISBLANK(BG7),IF(MOD(A7,2),LOOKUP(E142,AK7:AR182),LOOKUP(E142,AU:BB)),IF(C27&gt;2,LOOKUP(E142,BE:BL),IF(C27=2,LOOKUP(E142,AU:BB),LOOKUP(E142,AK:AR))))</f>
        <v>Acts 21:37-22:16,</v>
      </c>
      <c r="M142" s="178" t="str">
        <f>IF(ISBLANK(BG7),IF(MOD(A7,2),LOOKUP(E142,AK7:AS182),LOOKUP(E142,AU:BC)),IF(C27&gt;2,LOOKUP(E142,BE:BM),IF(C27=2,LOOKUP(E142,AU:BC),LOOKUP(E142,AK:AS))))</f>
        <v>Acts 22:17-29,</v>
      </c>
      <c r="N142" s="292"/>
      <c r="O142" s="78"/>
      <c r="Z142" s="12"/>
      <c r="AK142" s="2">
        <v>135</v>
      </c>
      <c r="AL142" s="13" t="s">
        <v>2643</v>
      </c>
      <c r="AM142" s="64" t="s">
        <v>2644</v>
      </c>
      <c r="AN142" s="64" t="s">
        <v>2437</v>
      </c>
      <c r="AO142" s="63" t="s">
        <v>2645</v>
      </c>
      <c r="AP142" s="64" t="s">
        <v>2646</v>
      </c>
      <c r="AQ142" s="63" t="s">
        <v>2647</v>
      </c>
      <c r="AR142" s="64" t="s">
        <v>2648</v>
      </c>
      <c r="AS142" s="144" t="s">
        <v>2649</v>
      </c>
      <c r="AU142" s="2">
        <v>135</v>
      </c>
      <c r="AV142" s="13" t="s">
        <v>2643</v>
      </c>
      <c r="AW142" s="67" t="s">
        <v>2650</v>
      </c>
      <c r="AX142" s="66" t="s">
        <v>2272</v>
      </c>
      <c r="AY142" s="67" t="s">
        <v>2651</v>
      </c>
      <c r="AZ142" s="66" t="s">
        <v>1989</v>
      </c>
      <c r="BA142" s="67" t="s">
        <v>2051</v>
      </c>
      <c r="BB142" s="66" t="s">
        <v>2274</v>
      </c>
      <c r="BC142" s="67" t="s">
        <v>2275</v>
      </c>
      <c r="BE142" s="2">
        <v>135</v>
      </c>
      <c r="BF142" s="13" t="s">
        <v>2643</v>
      </c>
      <c r="BG142" s="68" t="s">
        <v>2652</v>
      </c>
      <c r="BH142" s="69" t="s">
        <v>2653</v>
      </c>
      <c r="BI142" s="68" t="s">
        <v>2654</v>
      </c>
      <c r="BJ142" s="69" t="s">
        <v>2655</v>
      </c>
      <c r="BK142" s="69" t="s">
        <v>2656</v>
      </c>
      <c r="BL142" s="69" t="s">
        <v>2657</v>
      </c>
      <c r="BM142" s="69" t="s">
        <v>2658</v>
      </c>
    </row>
    <row r="143" spans="2:65" ht="12.75">
      <c r="B143" s="4"/>
      <c r="C143" s="4"/>
      <c r="D143" s="256"/>
      <c r="E143" s="266">
        <v>133</v>
      </c>
      <c r="F143" s="258"/>
      <c r="G143" s="199" t="str">
        <f>IF(ISBLANK(BG7),IF(MOD(A7,2),LOOKUP(E143,AK7:AM182),LOOKUP(E143,AU:AW)),IF(C27&gt;2,LOOKUP(E143,BE:BG),IF(C27=2,LOOKUP(E143,AU:AW),LOOKUP(E143,AK:AM))))</f>
        <v>John 3:22-36</v>
      </c>
      <c r="H143" s="260" t="str">
        <f>IF(ISBLANK(BG7),IF(MOD(A7,2),LOOKUP(E143,AK7:AN182),LOOKUP(E143,AU:AX)),IF(C27&gt;2,LOOKUP(E143,BE:BH),IF(C27=2,LOOKUP(E143,AU:AX),LOOKUP(E143,AK:AN))))</f>
        <v>Mark 9:42-50</v>
      </c>
      <c r="I143" s="260" t="str">
        <f>IF(ISBLANK(BG7),IF(MOD(A7,2),LOOKUP(E143,AK7:AO182),LOOKUP(E143,AU:AY)),IF(C27&gt;2,LOOKUP(E143,BE:BI),IF(C27=2,LOOKUP(E143,AU:AY),LOOKUP(E143,AK:AO))))</f>
        <v>Mark 10:1-16</v>
      </c>
      <c r="J143" s="290" t="str">
        <f>IF(ISBLANK(BG7),IF(MOD(A7,2),LOOKUP(E143,AK7:AP182),LOOKUP(E143,AU:AZ)),IF(C27&gt;2,LOOKUP(E143,BE:BJ),IF(C27=2,LOOKUP(E143,AU:AZ),LOOKUP(E143,AK:AP))))</f>
        <v>Mark 10:17-31</v>
      </c>
      <c r="K143" s="260" t="str">
        <f>IF(ISBLANK(BG7),IF(MOD(A7,2),LOOKUP(E143,AK7:AQ182),LOOKUP(E143,AU:BA)),IF(C27&gt;2,LOOKUP(E143,BE:BK),IF(C27=2,LOOKUP(E143,AU:BA),LOOKUP(E143,AK:AQ))))</f>
        <v>Mark 10:32-45</v>
      </c>
      <c r="L143" s="260" t="str">
        <f>IF(ISBLANK(BG7),IF(MOD(A7,2),LOOKUP(E143,AK7:AR182),LOOKUP(E143,AU:BB)),IF(C27&gt;2,LOOKUP(E143,BE:BL),IF(C27=2,LOOKUP(E143,AU:BB),LOOKUP(E143,AK:AR))))</f>
        <v>Mark 10:46-52</v>
      </c>
      <c r="M143" s="290" t="str">
        <f>IF(ISBLANK(BG7),IF(MOD(A7,2),LOOKUP(E143,AK7:AS182),LOOKUP(E143,AU:BC)),IF(C27&gt;2,LOOKUP(E143,BE:BM),IF(C27=2,LOOKUP(E143,AU:BC),LOOKUP(E143,AK:AS))))</f>
        <v>Mark 11:1-11</v>
      </c>
      <c r="N143" s="293"/>
      <c r="O143" s="78"/>
      <c r="Z143" s="12"/>
      <c r="AK143" s="2">
        <v>136</v>
      </c>
      <c r="AL143" s="248" t="s">
        <v>2659</v>
      </c>
      <c r="AM143" s="64" t="s">
        <v>298</v>
      </c>
      <c r="AN143" s="64" t="s">
        <v>913</v>
      </c>
      <c r="AO143" s="63" t="s">
        <v>914</v>
      </c>
      <c r="AP143" s="64" t="s">
        <v>915</v>
      </c>
      <c r="AQ143" s="63" t="s">
        <v>2660</v>
      </c>
      <c r="AR143" s="64" t="s">
        <v>2661</v>
      </c>
      <c r="AS143" s="144" t="s">
        <v>2662</v>
      </c>
      <c r="AU143" s="2">
        <v>136</v>
      </c>
      <c r="AV143" s="248" t="s">
        <v>2659</v>
      </c>
      <c r="AW143" s="104" t="s">
        <v>2663</v>
      </c>
      <c r="AX143" s="103" t="s">
        <v>725</v>
      </c>
      <c r="AY143" s="104" t="s">
        <v>298</v>
      </c>
      <c r="AZ143" s="103" t="s">
        <v>726</v>
      </c>
      <c r="BA143" s="104" t="s">
        <v>727</v>
      </c>
      <c r="BB143" s="103" t="s">
        <v>787</v>
      </c>
      <c r="BC143" s="104" t="s">
        <v>788</v>
      </c>
      <c r="BE143" s="2">
        <v>136</v>
      </c>
      <c r="BF143" s="248" t="s">
        <v>2659</v>
      </c>
      <c r="BG143" s="68" t="s">
        <v>2664</v>
      </c>
      <c r="BH143" s="69" t="s">
        <v>2665</v>
      </c>
      <c r="BI143" s="68" t="s">
        <v>2666</v>
      </c>
      <c r="BJ143" s="69" t="s">
        <v>2667</v>
      </c>
      <c r="BK143" s="69" t="s">
        <v>2668</v>
      </c>
      <c r="BL143" s="69" t="s">
        <v>2669</v>
      </c>
      <c r="BM143" s="69" t="s">
        <v>2670</v>
      </c>
    </row>
    <row r="144" spans="2:65" ht="12.75">
      <c r="B144" s="4"/>
      <c r="C144" s="4"/>
      <c r="D144" s="138">
        <f>B19+98</f>
        <v>41511</v>
      </c>
      <c r="E144" s="73">
        <v>134</v>
      </c>
      <c r="F144" s="299" t="s">
        <v>2671</v>
      </c>
      <c r="G144" s="107" t="str">
        <f>IF(ISBLANK(BG7),IF(MOD(A7,2),LOOKUP(E144,AK7:AM182),LOOKUP(E144,AU:AW)),IF(C27&gt;2,LOOKUP(E144,BE:BG),IF(C27=2,LOOKUP(E144,AU:AW),LOOKUP(E144,AK:AM))))</f>
        <v>2 Samuel 17:1-23,</v>
      </c>
      <c r="H144" s="264" t="str">
        <f>IF(ISBLANK(BG7),IF(MOD(A7,2),LOOKUP(E144,AK7:AN182),LOOKUP(E144,AU:AX)),IF(C27&gt;2,LOOKUP(E144,BE:BH),IF(C27=2,LOOKUP(E144,AU:AX),LOOKUP(E144,AK:AN))))</f>
        <v>2 Samuel 17:24-18:8,</v>
      </c>
      <c r="I144" s="264" t="str">
        <f>IF(ISBLANK(BG7),IF(MOD(A7,2),LOOKUP(E144,AK7:AO182),LOOKUP(E144,AU:AY)),IF(C27&gt;2,LOOKUP(E144,BE:BI),IF(C27=2,LOOKUP(E144,AU:AY),LOOKUP(E144,AK:AO))))</f>
        <v>2 Samuel 18:9-18,</v>
      </c>
      <c r="J144" s="298" t="str">
        <f>IF(ISBLANK(BG7),IF(MOD(A7,2),LOOKUP(E144,AK7:AP182),LOOKUP(E144,AU:AZ)),IF(C27&gt;2,LOOKUP(E144,BE:BJ),IF(C27=2,LOOKUP(E144,AU:AZ),LOOKUP(E144,AK:AP))))</f>
        <v>2 Samuel 18:19-33,</v>
      </c>
      <c r="K144" s="264" t="str">
        <f>IF(ISBLANK(BG7),IF(MOD(A7,2),LOOKUP(E144,AK7:AQ182),LOOKUP(E144,AU:BA)),IF(C27&gt;2,LOOKUP(E144,BE:BK),IF(C27=2,LOOKUP(E144,AU:BA),LOOKUP(E144,AK:AQ))))</f>
        <v>2 Samuel 19:1-23,</v>
      </c>
      <c r="L144" s="264" t="str">
        <f>IF(ISBLANK(BG7),IF(MOD(A7,2),LOOKUP(E144,AK7:AR182),LOOKUP(E144,AU:BB)),IF(C27&gt;2,LOOKUP(E144,BE:BL),IF(C27=2,LOOKUP(E144,AU:BB),LOOKUP(E144,AK:AR))))</f>
        <v>2 Samuel 19:24-43,</v>
      </c>
      <c r="M144" s="298" t="str">
        <f>IF(ISBLANK(BG7),IF(MOD(A7,2),LOOKUP(E144,AK7:AS182),LOOKUP(E144,AU:BC)),IF(C27&gt;2,LOOKUP(E144,BE:BM),IF(C27=2,LOOKUP(E144,AU:BC),LOOKUP(E144,AK:AS))))</f>
        <v>2 Samuel 23:1-7, 13-17,</v>
      </c>
      <c r="N144" s="292" t="s">
        <v>2671</v>
      </c>
      <c r="O144" s="56">
        <f>D144</f>
        <v>41511</v>
      </c>
      <c r="Z144" s="12"/>
      <c r="AK144" s="2">
        <v>137</v>
      </c>
      <c r="AL144" s="13" t="s">
        <v>2672</v>
      </c>
      <c r="AM144" s="89" t="s">
        <v>2673</v>
      </c>
      <c r="AN144" s="89" t="s">
        <v>2674</v>
      </c>
      <c r="AO144" s="88" t="s">
        <v>2675</v>
      </c>
      <c r="AP144" s="89" t="s">
        <v>2676</v>
      </c>
      <c r="AQ144" s="88" t="s">
        <v>2677</v>
      </c>
      <c r="AR144" s="89" t="s">
        <v>2678</v>
      </c>
      <c r="AS144" s="242" t="s">
        <v>2679</v>
      </c>
      <c r="AU144" s="2">
        <v>137</v>
      </c>
      <c r="AV144" s="13" t="s">
        <v>2672</v>
      </c>
      <c r="AW144" s="67" t="s">
        <v>2680</v>
      </c>
      <c r="AX144" s="66" t="s">
        <v>2681</v>
      </c>
      <c r="AY144" s="67" t="s">
        <v>2682</v>
      </c>
      <c r="AZ144" s="66" t="s">
        <v>2683</v>
      </c>
      <c r="BA144" s="67" t="s">
        <v>2684</v>
      </c>
      <c r="BB144" s="66" t="s">
        <v>2685</v>
      </c>
      <c r="BC144" s="67" t="s">
        <v>2686</v>
      </c>
      <c r="BE144" s="2">
        <v>137</v>
      </c>
      <c r="BF144" s="13" t="s">
        <v>2672</v>
      </c>
      <c r="BG144" s="68" t="s">
        <v>2687</v>
      </c>
      <c r="BH144" s="69" t="s">
        <v>2688</v>
      </c>
      <c r="BI144" s="68" t="s">
        <v>2689</v>
      </c>
      <c r="BJ144" s="69" t="s">
        <v>2690</v>
      </c>
      <c r="BK144" s="69" t="s">
        <v>2691</v>
      </c>
      <c r="BL144" s="69" t="s">
        <v>2692</v>
      </c>
      <c r="BM144" s="69" t="s">
        <v>2693</v>
      </c>
    </row>
    <row r="145" spans="2:65" ht="12.75">
      <c r="B145" s="4"/>
      <c r="C145" s="4"/>
      <c r="D145" s="138"/>
      <c r="E145" s="73">
        <v>135</v>
      </c>
      <c r="F145" s="299"/>
      <c r="G145" s="255" t="str">
        <f>IF(ISBLANK(BG7),IF(MOD(A7,2),LOOKUP(E145,AK7:AM182),LOOKUP(E145,AU:AW)),IF(C27&gt;2,LOOKUP(E145,BE:BG),IF(C27=2,LOOKUP(E145,AU:AW),LOOKUP(E145,AK:AM))))</f>
        <v>Galatians 3:6-14,</v>
      </c>
      <c r="H145" s="111" t="str">
        <f>IF(ISBLANK(BG7),IF(MOD(A7,2),LOOKUP(E145,AK7:AN182),LOOKUP(E145,AU:AX)),IF(C27&gt;2,LOOKUP(E145,BE:BH),IF(C27=2,LOOKUP(E145,AU:AX),LOOKUP(E145,AK:AN))))</f>
        <v>Acts 22:30-23:11,</v>
      </c>
      <c r="I145" s="111" t="str">
        <f>IF(ISBLANK(BG7),IF(MOD(A7,2),LOOKUP(E145,AK7:AO182),LOOKUP(E145,AU:AY)),IF(C27&gt;2,LOOKUP(E145,BE:BI),IF(C27=2,LOOKUP(E145,AU:AY),LOOKUP(E145,AK:AO))))</f>
        <v>Acts 23:12-24,</v>
      </c>
      <c r="J145" s="178" t="str">
        <f>IF(ISBLANK(BG7),IF(MOD(A7,2),LOOKUP(E145,AK7:AP182),LOOKUP(E145,AU:AZ)),IF(C27&gt;2,LOOKUP(E145,BE:BJ),IF(C27=2,LOOKUP(E145,AU:AZ),LOOKUP(E145,AK:AP))))</f>
        <v>Acts 23:23-35,</v>
      </c>
      <c r="K145" s="111" t="str">
        <f>IF(ISBLANK(BG7),IF(MOD(A7,2),LOOKUP(E145,AK7:AQ182),LOOKUP(E145,AU:BA)),IF(C27&gt;2,LOOKUP(E145,BE:BK),IF(C27=2,LOOKUP(E145,AU:BA),LOOKUP(E145,AK:AQ))))</f>
        <v>Acts 24:1-23,</v>
      </c>
      <c r="L145" s="111" t="str">
        <f>IF(ISBLANK(BG7),IF(MOD(A7,2),LOOKUP(E145,AK7:AR182),LOOKUP(E145,AU:BB)),IF(C27&gt;2,LOOKUP(E145,BE:BL),IF(C27=2,LOOKUP(E145,AU:BB),LOOKUP(E145,AK:AR))))</f>
        <v>Acts 24:24-25:12,</v>
      </c>
      <c r="M145" s="178" t="str">
        <f>IF(ISBLANK(BG7),IF(MOD(A7,2),LOOKUP(E145,AK7:AS182),LOOKUP(E145,AU:BC)),IF(C27&gt;2,LOOKUP(E145,BE:BM),IF(C27=2,LOOKUP(E145,AU:BC),LOOKUP(E145,AK:AS))))</f>
        <v>Acts 25:13-27,</v>
      </c>
      <c r="N145" s="292"/>
      <c r="O145" s="78"/>
      <c r="Z145" s="12"/>
      <c r="AK145" s="2">
        <v>138</v>
      </c>
      <c r="AL145" s="13" t="s">
        <v>2694</v>
      </c>
      <c r="AM145" s="64" t="s">
        <v>288</v>
      </c>
      <c r="AN145" s="64" t="s">
        <v>2695</v>
      </c>
      <c r="AO145" s="63" t="s">
        <v>2696</v>
      </c>
      <c r="AP145" s="64" t="s">
        <v>2697</v>
      </c>
      <c r="AQ145" s="63" t="s">
        <v>2698</v>
      </c>
      <c r="AR145" s="64" t="s">
        <v>2699</v>
      </c>
      <c r="AS145" s="144" t="s">
        <v>2700</v>
      </c>
      <c r="AU145" s="2">
        <v>138</v>
      </c>
      <c r="AV145" s="13" t="s">
        <v>2694</v>
      </c>
      <c r="AW145" s="67" t="s">
        <v>2701</v>
      </c>
      <c r="AX145" s="66" t="s">
        <v>2326</v>
      </c>
      <c r="AY145" s="67" t="s">
        <v>2327</v>
      </c>
      <c r="AZ145" s="66" t="s">
        <v>2328</v>
      </c>
      <c r="BA145" s="67" t="s">
        <v>2329</v>
      </c>
      <c r="BB145" s="66" t="s">
        <v>2330</v>
      </c>
      <c r="BC145" s="67" t="s">
        <v>2331</v>
      </c>
      <c r="BE145" s="2">
        <v>138</v>
      </c>
      <c r="BF145" s="13" t="s">
        <v>2694</v>
      </c>
      <c r="BG145" s="68" t="s">
        <v>2702</v>
      </c>
      <c r="BH145" s="69" t="s">
        <v>2703</v>
      </c>
      <c r="BI145" s="68" t="s">
        <v>2704</v>
      </c>
      <c r="BJ145" s="69" t="s">
        <v>2705</v>
      </c>
      <c r="BK145" s="69" t="s">
        <v>2706</v>
      </c>
      <c r="BL145" s="69" t="s">
        <v>2707</v>
      </c>
      <c r="BM145" s="69" t="s">
        <v>2708</v>
      </c>
    </row>
    <row r="146" spans="2:65" ht="12.75">
      <c r="B146" s="4"/>
      <c r="C146" s="4"/>
      <c r="D146" s="138"/>
      <c r="E146" s="73">
        <v>136</v>
      </c>
      <c r="F146" s="299"/>
      <c r="G146" s="199" t="str">
        <f>IF(ISBLANK(BG7),IF(MOD(A7,2),LOOKUP(E146,AK7:AM182),LOOKUP(E146,AU:AW)),IF(C27&gt;2,LOOKUP(E146,BE:BG),IF(C27=2,LOOKUP(E146,AU:AW),LOOKUP(E146,AK:AM))))</f>
        <v>John 5:30-47</v>
      </c>
      <c r="H146" s="260" t="str">
        <f>IF(ISBLANK(BG7),IF(MOD(A7,2),LOOKUP(E146,AK7:AN182),LOOKUP(E146,AU:AX)),IF(C27&gt;2,LOOKUP(E146,BE:BH),IF(C27=2,LOOKUP(E146,AU:AX),LOOKUP(E146,AK:AN))))</f>
        <v>Mark 11:12-26</v>
      </c>
      <c r="I146" s="260" t="str">
        <f>IF(ISBLANK(BG7),IF(MOD(A7,2),LOOKUP(E146,AK7:AO182),LOOKUP(E146,AU:AY)),IF(C27&gt;2,LOOKUP(E146,BE:BI),IF(C27=2,LOOKUP(E146,AU:AY),LOOKUP(E146,AK:AO))))</f>
        <v>Mark 11:27-12:12</v>
      </c>
      <c r="J146" s="290" t="str">
        <f>IF(ISBLANK(BG7),IF(MOD(A7,2),LOOKUP(E146,AK7:AP182),LOOKUP(E146,AU:AZ)),IF(C27&gt;2,LOOKUP(E146,BE:BJ),IF(C27=2,LOOKUP(E146,AU:AZ),LOOKUP(E146,AK:AP))))</f>
        <v>Mark 12:13-27</v>
      </c>
      <c r="K146" s="260" t="str">
        <f>IF(ISBLANK(BG7),IF(MOD(A7,2),LOOKUP(E146,AK7:AQ182),LOOKUP(E146,AU:BA)),IF(C27&gt;2,LOOKUP(E146,BE:BK),IF(C27=2,LOOKUP(E146,AU:BA),LOOKUP(E146,AK:AQ))))</f>
        <v>Mark 12:28:34</v>
      </c>
      <c r="L146" s="260" t="str">
        <f>IF(ISBLANK(BG7),IF(MOD(A7,2),LOOKUP(E146,AK7:AR182),LOOKUP(E146,AU:BB)),IF(C27&gt;2,LOOKUP(E146,BE:BL),IF(C27=2,LOOKUP(E146,AU:BB),LOOKUP(E146,AK:AR))))</f>
        <v>Mark 12:35-44</v>
      </c>
      <c r="M146" s="290" t="str">
        <f>IF(ISBLANK(BG7),IF(MOD(A7,2),LOOKUP(E146,AK7:AS182),LOOKUP(E146,AU:BC)),IF(C27&gt;2,LOOKUP(E146,BE:BM),IF(C27=2,LOOKUP(E146,AU:BC),LOOKUP(E146,AK:AS))))</f>
        <v>Mark 13:1-13</v>
      </c>
      <c r="N146" s="292"/>
      <c r="O146" s="99"/>
      <c r="Z146" s="12"/>
      <c r="AK146" s="2">
        <v>139</v>
      </c>
      <c r="AL146" s="13" t="s">
        <v>2709</v>
      </c>
      <c r="AM146" s="102" t="s">
        <v>855</v>
      </c>
      <c r="AN146" s="102" t="s">
        <v>2710</v>
      </c>
      <c r="AO146" s="101" t="s">
        <v>2711</v>
      </c>
      <c r="AP146" s="102" t="s">
        <v>2712</v>
      </c>
      <c r="AQ146" s="101" t="s">
        <v>2713</v>
      </c>
      <c r="AR146" s="102" t="s">
        <v>2714</v>
      </c>
      <c r="AS146" s="249" t="s">
        <v>2715</v>
      </c>
      <c r="AU146" s="2">
        <v>139</v>
      </c>
      <c r="AV146" s="13" t="s">
        <v>2709</v>
      </c>
      <c r="AW146" s="67" t="s">
        <v>2716</v>
      </c>
      <c r="AX146" s="66" t="s">
        <v>789</v>
      </c>
      <c r="AY146" s="67" t="s">
        <v>790</v>
      </c>
      <c r="AZ146" s="66" t="s">
        <v>791</v>
      </c>
      <c r="BA146" s="67" t="s">
        <v>792</v>
      </c>
      <c r="BB146" s="66" t="s">
        <v>375</v>
      </c>
      <c r="BC146" s="67" t="s">
        <v>855</v>
      </c>
      <c r="BE146" s="2">
        <v>139</v>
      </c>
      <c r="BF146" s="13" t="s">
        <v>2709</v>
      </c>
      <c r="BG146" s="68" t="s">
        <v>2717</v>
      </c>
      <c r="BH146" s="69" t="s">
        <v>2718</v>
      </c>
      <c r="BI146" s="68" t="s">
        <v>2719</v>
      </c>
      <c r="BJ146" s="69" t="s">
        <v>2720</v>
      </c>
      <c r="BK146" s="69" t="s">
        <v>2721</v>
      </c>
      <c r="BL146" s="69" t="s">
        <v>2722</v>
      </c>
      <c r="BM146" s="69" t="s">
        <v>2723</v>
      </c>
    </row>
    <row r="147" spans="2:65" ht="12.75">
      <c r="B147" s="4"/>
      <c r="C147" s="4"/>
      <c r="D147" s="254">
        <f>B19+105</f>
        <v>41518</v>
      </c>
      <c r="E147" s="261">
        <v>137</v>
      </c>
      <c r="F147" s="300" t="s">
        <v>2724</v>
      </c>
      <c r="G147" s="107" t="str">
        <f>IF(ISBLANK(BG7),IF(MOD(A7,2),LOOKUP(E147,AK7:AM182),LOOKUP(E147,AU:AW)),IF(C27&gt;2,LOOKUP(E147,BE:BG),IF(C27=2,LOOKUP(E147,AU:AW),LOOKUP(E147,AK:AM))))</f>
        <v>2Samuel 24:1-2, 10-25,</v>
      </c>
      <c r="H147" s="264" t="str">
        <f>IF(ISBLANK(BG7),IF(MOD(A7,2),LOOKUP(E147,AK7:AN182),LOOKUP(E147,AU:AX)),IF(C27&gt;2,LOOKUP(E147,BE:BH),IF(C27=2,LOOKUP(E147,AU:AX),LOOKUP(E147,AK:AN))))</f>
        <v>1 Kings 1 :(1-4) 5-31,</v>
      </c>
      <c r="I147" s="264" t="str">
        <f>IF(ISBLANK(BG7),IF(MOD(A7,2),LOOKUP(E147,AK7:AO182),LOOKUP(E147,AU:AY)),IF(C27&gt;2,LOOKUP(E147,BE:BI),IF(C27=2,LOOKUP(E147,AU:AY),LOOKUP(E147,AK:AO))))</f>
        <v>1 Kings 1:32-2:4 (5-46a) 46b,</v>
      </c>
      <c r="J147" s="264" t="str">
        <f>IF(ISBLANK(BG7),IF(MOD(A7,2),LOOKUP(E147,AK7:AP182),LOOKUP(E147,AU:AZ)),IF(C27&gt;2,LOOKUP(E147,BE:BJ),IF(C27=2,LOOKUP(E147,AU:AZ),LOOKUP(E147,AK:AP))))</f>
        <v>1 Kings 3:1-15,</v>
      </c>
      <c r="K147" s="264" t="str">
        <f>IF(ISBLANK(BG7),IF(MOD(A7,2),LOOKUP(E147,AK7:AQ182),LOOKUP(E147,AU:BA)),IF(C27&gt;2,LOOKUP(E147,BE:BK),IF(C27=2,LOOKUP(E147,AU:BA),LOOKUP(E147,AK:AQ))))</f>
        <v>1 Kings 3:16-28,</v>
      </c>
      <c r="L147" s="264" t="str">
        <f>IF(ISBLANK(BG7),IF(MOD(A7,2),LOOKUP(E147,AK7:AR182),LOOKUP(E147,AU:BB)),IF(C27&gt;2,LOOKUP(E147,BE:BL),IF(C27=2,LOOKUP(E147,AU:BB),LOOKUP(E147,AK:AR))))</f>
        <v>1 Kings 5:1-6:1, 7,</v>
      </c>
      <c r="M147" s="298" t="str">
        <f>IF(ISBLANK(BG7),IF(MOD(A7,2),LOOKUP(E147,AK7:AS182),LOOKUP(E147,AU:BC)),IF(C27&gt;2,LOOKUP(E147,BE:BM),IF(C27=2,LOOKUP(E147,AU:BC),LOOKUP(E147,AK:AS))))</f>
        <v>1 Kings 7:51-8:21,</v>
      </c>
      <c r="N147" s="291" t="s">
        <v>2724</v>
      </c>
      <c r="O147" s="109">
        <f>D147</f>
        <v>41518</v>
      </c>
      <c r="Z147" s="12"/>
      <c r="AK147" s="2">
        <v>140</v>
      </c>
      <c r="AL147" s="245" t="s">
        <v>2725</v>
      </c>
      <c r="AM147" s="64" t="s">
        <v>2726</v>
      </c>
      <c r="AN147" s="64" t="s">
        <v>2727</v>
      </c>
      <c r="AO147" s="63" t="s">
        <v>2728</v>
      </c>
      <c r="AP147" s="64" t="s">
        <v>2729</v>
      </c>
      <c r="AQ147" s="63" t="s">
        <v>2730</v>
      </c>
      <c r="AR147" s="64" t="s">
        <v>2731</v>
      </c>
      <c r="AS147" s="144" t="s">
        <v>2732</v>
      </c>
      <c r="AU147" s="2">
        <v>140</v>
      </c>
      <c r="AV147" s="245" t="s">
        <v>2725</v>
      </c>
      <c r="AW147" s="91" t="s">
        <v>2733</v>
      </c>
      <c r="AX147" s="90" t="s">
        <v>2734</v>
      </c>
      <c r="AY147" s="91" t="s">
        <v>2735</v>
      </c>
      <c r="AZ147" s="90" t="s">
        <v>2736</v>
      </c>
      <c r="BA147" s="91" t="s">
        <v>2737</v>
      </c>
      <c r="BB147" s="90" t="s">
        <v>2738</v>
      </c>
      <c r="BC147" s="91" t="s">
        <v>2739</v>
      </c>
      <c r="BE147" s="2">
        <v>140</v>
      </c>
      <c r="BF147" s="245" t="s">
        <v>2725</v>
      </c>
      <c r="BG147" s="68" t="s">
        <v>2740</v>
      </c>
      <c r="BH147" s="69" t="s">
        <v>2741</v>
      </c>
      <c r="BI147" s="68" t="s">
        <v>2742</v>
      </c>
      <c r="BJ147" s="69" t="s">
        <v>2743</v>
      </c>
      <c r="BK147" s="69" t="s">
        <v>2744</v>
      </c>
      <c r="BL147" s="69" t="s">
        <v>2745</v>
      </c>
      <c r="BM147" s="69" t="s">
        <v>2746</v>
      </c>
    </row>
    <row r="148" spans="2:65" ht="12.75">
      <c r="B148" s="4"/>
      <c r="C148" s="4"/>
      <c r="D148" s="138"/>
      <c r="E148" s="73">
        <v>138</v>
      </c>
      <c r="F148" s="299"/>
      <c r="G148" s="255" t="str">
        <f>IF(ISBLANK(BG7),IF(MOD(A7,2),LOOKUP(E148,AK7:AM182),LOOKUP(E148,AU:AW)),IF(C27&gt;2,LOOKUP(E148,BE:BG),IF(C27=2,LOOKUP(E148,AU:AW),LOOKUP(E148,AK:AM))))</f>
        <v>Galatians 3:23-4:7,</v>
      </c>
      <c r="H148" s="111" t="str">
        <f>IF(ISBLANK(BG7),IF(MOD(A7,2),LOOKUP(E148,AK7:AN182),LOOKUP(E148,AU:AX)),IF(C27&gt;2,LOOKUP(E148,BE:BH),IF(C27=2,LOOKUP(E148,AU:AX),LOOKUP(E148,AK:AN))))</f>
        <v>Acts 26:1-23,</v>
      </c>
      <c r="I148" s="111" t="str">
        <f>IF(ISBLANK(BG7),IF(MOD(A7,2),LOOKUP(E148,AK7:AO182),LOOKUP(E148,AU:AY)),IF(C27&gt;2,LOOKUP(E148,BE:BI),IF(C27=2,LOOKUP(E148,AU:AY),LOOKUP(E148,AK:AO))))</f>
        <v>Acts 26:24-27:8,</v>
      </c>
      <c r="J148" s="111" t="str">
        <f>IF(ISBLANK(BG7),IF(MOD(A7,2),LOOKUP(E148,AK7:AP182),LOOKUP(E148,AU:AZ)),IF(C27&gt;2,LOOKUP(E148,BE:BJ),IF(C27=2,LOOKUP(E148,AU:AZ),LOOKUP(E148,AK:AP))))</f>
        <v>Acts 27:9-26</v>
      </c>
      <c r="K148" s="111" t="str">
        <f>IF(ISBLANK(BG7),IF(MOD(A7,2),LOOKUP(E148,AK7:AQ182),LOOKUP(E148,AU:BA)),IF(C27&gt;2,LOOKUP(E148,BE:BK),IF(C27=2,LOOKUP(E148,AU:BA),LOOKUP(E148,AK:AQ))))</f>
        <v>Acts 27:27-44,</v>
      </c>
      <c r="L148" s="111" t="str">
        <f>IF(ISBLANK(BG7),IF(MOD(A7,2),LOOKUP(E148,AK7:AR182),LOOKUP(E148,AU:BB)),IF(C27&gt;2,LOOKUP(E148,BE:BL),IF(C27=2,LOOKUP(E148,AU:BB),LOOKUP(E148,AK:AR))))</f>
        <v>Acts 28:1-16,</v>
      </c>
      <c r="M148" s="178" t="str">
        <f>IF(ISBLANK(BG7),IF(MOD(A7,2),LOOKUP(E148,AK7:AS182),LOOKUP(E148,AU:BC)),IF(C27&gt;2,LOOKUP(E148,BE:BM),IF(C27=2,LOOKUP(E148,AU:BC),LOOKUP(E148,AK:AS))))</f>
        <v>Acts 28:17-31,</v>
      </c>
      <c r="N148" s="292"/>
      <c r="O148" s="78"/>
      <c r="Z148" s="12"/>
      <c r="AK148" s="2">
        <v>141</v>
      </c>
      <c r="AL148" s="13" t="s">
        <v>2747</v>
      </c>
      <c r="AM148" s="64" t="s">
        <v>2748</v>
      </c>
      <c r="AN148" s="64" t="s">
        <v>2749</v>
      </c>
      <c r="AO148" s="63" t="s">
        <v>2750</v>
      </c>
      <c r="AP148" s="64" t="s">
        <v>2751</v>
      </c>
      <c r="AQ148" s="63" t="s">
        <v>2752</v>
      </c>
      <c r="AR148" s="64" t="s">
        <v>2753</v>
      </c>
      <c r="AS148" s="144" t="s">
        <v>2754</v>
      </c>
      <c r="AU148" s="2">
        <v>141</v>
      </c>
      <c r="AV148" s="13" t="s">
        <v>2747</v>
      </c>
      <c r="AW148" s="67" t="s">
        <v>2755</v>
      </c>
      <c r="AX148" s="66" t="s">
        <v>2379</v>
      </c>
      <c r="AY148" s="67" t="s">
        <v>2380</v>
      </c>
      <c r="AZ148" s="66" t="s">
        <v>2381</v>
      </c>
      <c r="BA148" s="67" t="s">
        <v>2162</v>
      </c>
      <c r="BB148" s="66" t="s">
        <v>2382</v>
      </c>
      <c r="BC148" s="67" t="s">
        <v>2383</v>
      </c>
      <c r="BE148" s="2">
        <v>141</v>
      </c>
      <c r="BF148" s="13" t="s">
        <v>2747</v>
      </c>
      <c r="BG148" s="68" t="s">
        <v>2756</v>
      </c>
      <c r="BH148" s="69" t="s">
        <v>2757</v>
      </c>
      <c r="BI148" s="68" t="s">
        <v>2758</v>
      </c>
      <c r="BJ148" s="69" t="s">
        <v>2759</v>
      </c>
      <c r="BK148" s="69" t="s">
        <v>2760</v>
      </c>
      <c r="BL148" s="69" t="s">
        <v>2761</v>
      </c>
      <c r="BM148" s="69" t="s">
        <v>2762</v>
      </c>
    </row>
    <row r="149" spans="2:65" ht="12.75">
      <c r="B149" s="4"/>
      <c r="C149" s="4"/>
      <c r="D149" s="256"/>
      <c r="E149" s="266">
        <v>139</v>
      </c>
      <c r="F149" s="301"/>
      <c r="G149" s="199" t="str">
        <f>IF(ISBLANK(BG7),IF(MOD(A7,2),LOOKUP(E149,AK7:AM182),LOOKUP(E149,AU:AW)),IF(C27&gt;2,LOOKUP(E149,BE:BG),IF(C27=2,LOOKUP(E149,AU:AW),LOOKUP(E149,AK:AM))))</f>
        <v>John 8:12-20</v>
      </c>
      <c r="H149" s="260" t="str">
        <f>IF(ISBLANK(BG7),IF(MOD(A7,2),LOOKUP(E149,AK7:AN182),LOOKUP(E149,AU:AX)),IF(C27&gt;2,LOOKUP(E149,BE:BH),IF(C27=2,LOOKUP(E149,AU:AX),LOOKUP(E149,AK:AN))))</f>
        <v>Mark 13:14-27</v>
      </c>
      <c r="I149" s="260" t="str">
        <f>IF(ISBLANK(BG7),IF(MOD(A7,2),LOOKUP(E149,AK7:AO182),LOOKUP(E149,AU:AY)),IF(C27&gt;2,LOOKUP(E149,BE:BI),IF(C27=2,LOOKUP(E149,AU:AY),LOOKUP(E149,AK:AO))))</f>
        <v>Mark 13:28-37</v>
      </c>
      <c r="J149" s="260" t="str">
        <f>IF(ISBLANK(BG7),IF(MOD(A7,2),LOOKUP(E149,AK7:AP182),LOOKUP(E149,AU:AZ)),IF(C27&gt;2,LOOKUP(E149,BE:BJ),IF(C27=2,LOOKUP(E149,AU:AZ),LOOKUP(E149,AK:AP))))</f>
        <v>Mark 14:1-11</v>
      </c>
      <c r="K149" s="260" t="str">
        <f>IF(ISBLANK(BG7),IF(MOD(A7,2),LOOKUP(E149,AK7:AQ182),LOOKUP(E149,AU:BA)),IF(C27&gt;2,LOOKUP(E149,BE:BK),IF(C27=2,LOOKUP(E149,AU:BA),LOOKUP(E149,AK:AQ))))</f>
        <v>Mark 14:12-26</v>
      </c>
      <c r="L149" s="260" t="str">
        <f>IF(ISBLANK(BG7),IF(MOD(A7,2),LOOKUP(E149,AK7:AR182),LOOKUP(E149,AU:BB)),IF(C27&gt;2,LOOKUP(E149,BE:BL),IF(C27=2,LOOKUP(E149,AU:BB),LOOKUP(E149,AK:AR))))</f>
        <v>Mark 14:27-42</v>
      </c>
      <c r="M149" s="290" t="str">
        <f>IF(ISBLANK(BG7),IF(MOD(A7,2),LOOKUP(E149,AK7:AS182),LOOKUP(E149,AU:BC)),IF(C27&gt;2,LOOKUP(E149,BE:BM),IF(C27=2,LOOKUP(E149,AU:BC),LOOKUP(E149,AK:AS))))</f>
        <v>Mark 14:43-52</v>
      </c>
      <c r="N149" s="293"/>
      <c r="O149" s="78"/>
      <c r="Z149" s="12"/>
      <c r="AK149" s="2">
        <v>142</v>
      </c>
      <c r="AL149" s="248" t="s">
        <v>2763</v>
      </c>
      <c r="AM149" s="64" t="s">
        <v>858</v>
      </c>
      <c r="AN149" s="64" t="s">
        <v>2764</v>
      </c>
      <c r="AO149" s="63" t="s">
        <v>2765</v>
      </c>
      <c r="AP149" s="64" t="s">
        <v>2766</v>
      </c>
      <c r="AQ149" s="63" t="s">
        <v>2767</v>
      </c>
      <c r="AR149" s="64" t="s">
        <v>2768</v>
      </c>
      <c r="AS149" s="144" t="s">
        <v>2769</v>
      </c>
      <c r="AU149" s="2">
        <v>142</v>
      </c>
      <c r="AV149" s="248" t="s">
        <v>2763</v>
      </c>
      <c r="AW149" s="104" t="s">
        <v>978</v>
      </c>
      <c r="AX149" s="103" t="s">
        <v>856</v>
      </c>
      <c r="AY149" s="104" t="s">
        <v>857</v>
      </c>
      <c r="AZ149" s="103" t="s">
        <v>858</v>
      </c>
      <c r="BA149" s="104" t="s">
        <v>919</v>
      </c>
      <c r="BB149" s="103" t="s">
        <v>920</v>
      </c>
      <c r="BC149" s="104" t="s">
        <v>921</v>
      </c>
      <c r="BE149" s="2">
        <v>142</v>
      </c>
      <c r="BF149" s="248" t="s">
        <v>2763</v>
      </c>
      <c r="BG149" s="68" t="s">
        <v>2770</v>
      </c>
      <c r="BH149" s="69" t="s">
        <v>2771</v>
      </c>
      <c r="BI149" s="68" t="s">
        <v>2772</v>
      </c>
      <c r="BJ149" s="69" t="s">
        <v>2773</v>
      </c>
      <c r="BK149" s="69" t="s">
        <v>2774</v>
      </c>
      <c r="BL149" s="69" t="s">
        <v>2775</v>
      </c>
      <c r="BM149" s="69" t="s">
        <v>2776</v>
      </c>
    </row>
    <row r="150" spans="2:65" ht="12.75">
      <c r="B150" s="4"/>
      <c r="C150" s="4"/>
      <c r="D150" s="138">
        <f>B19+112</f>
        <v>41525</v>
      </c>
      <c r="E150" s="73">
        <v>140</v>
      </c>
      <c r="F150" s="299" t="s">
        <v>2777</v>
      </c>
      <c r="G150" s="107" t="str">
        <f>IF(ISBLANK(BG7),IF(MOD(A7,2),LOOKUP(E150,AK7:AM182),LOOKUP(E150,AU:AW)),IF(C27&gt;2,LOOKUP(E150,BE:BG),IF(C27=2,LOOKUP(E150,AU:AW),LOOKUP(E150,AK:AM))))</f>
        <v>1 Kings 8:22-30 (31-40),</v>
      </c>
      <c r="H150" s="264" t="str">
        <f>IF(ISBLANK(BG7),IF(MOD(A7,2),LOOKUP(E150,AK7:AN182),LOOKUP(E150,AU:AX)),IF(C27&gt;2,LOOKUP(E150,BE:BH),IF(C27=2,LOOKUP(E150,AU:AX),LOOKUP(E150,AK:AN))))</f>
        <v>2 Chronicles 6:32-7:7,</v>
      </c>
      <c r="I150" s="264" t="str">
        <f>IF(ISBLANK(BG7),IF(MOD(A7,2),LOOKUP(E150,AK7:AO182),LOOKUP(E150,AU:AY)),IF(C27&gt;2,LOOKUP(E150,BE:BI),IF(C27=2,LOOKUP(E150,AU:AY),LOOKUP(E150,AK:AO))))</f>
        <v>1 Kings 8:65-9:9,</v>
      </c>
      <c r="J150" s="264" t="str">
        <f>IF(ISBLANK(BG7),IF(MOD(A7,2),LOOKUP(E150,AK7:AP182),LOOKUP(E150,AU:AZ)),IF(C27&gt;2,LOOKUP(E150,BE:BJ),IF(C27=2,LOOKUP(E150,AU:AZ),LOOKUP(E150,AK:AP))))</f>
        <v>1 Kings 9:24-10:13,</v>
      </c>
      <c r="K150" s="264" t="str">
        <f>IF(ISBLANK(BG7),IF(MOD(A7,2),LOOKUP(E150,AK7:AQ182),LOOKUP(E150,AU:BA)),IF(C27&gt;2,LOOKUP(E150,BE:BK),IF(C27=2,LOOKUP(E150,AU:BA),LOOKUP(E150,AK:AQ))))</f>
        <v>1 Kings 11:1-13,</v>
      </c>
      <c r="L150" s="264" t="str">
        <f>IF(ISBLANK(BG7),IF(MOD(A7,2),LOOKUP(E150,AK7:AR182),LOOKUP(E150,AU:BB)),IF(C27&gt;2,LOOKUP(E150,BE:BL),IF(C27=2,LOOKUP(E150,AU:BB),LOOKUP(E150,AK:AR))))</f>
        <v>1 Kings 11:26-43,</v>
      </c>
      <c r="M150" s="298" t="str">
        <f>IF(ISBLANK(BG7),IF(MOD(A7,2),LOOKUP(E150,AK7:AS182),LOOKUP(E150,AU:BC)),IF(C27&gt;2,LOOKUP(E150,BE:BM),IF(C27=2,LOOKUP(E150,AU:BC),LOOKUP(E150,AK:AS))))</f>
        <v>1 Kings 12:1-20,</v>
      </c>
      <c r="N150" s="292" t="s">
        <v>2777</v>
      </c>
      <c r="O150" s="56">
        <f>D150</f>
        <v>41525</v>
      </c>
      <c r="Z150" s="12"/>
      <c r="AK150" s="2">
        <v>143</v>
      </c>
      <c r="AL150" s="13" t="s">
        <v>2778</v>
      </c>
      <c r="AM150" s="89" t="s">
        <v>2779</v>
      </c>
      <c r="AN150" s="89" t="s">
        <v>2780</v>
      </c>
      <c r="AO150" s="88" t="s">
        <v>2781</v>
      </c>
      <c r="AP150" s="89" t="s">
        <v>2782</v>
      </c>
      <c r="AQ150" s="88" t="s">
        <v>2783</v>
      </c>
      <c r="AR150" s="89" t="s">
        <v>2784</v>
      </c>
      <c r="AS150" s="242" t="s">
        <v>2785</v>
      </c>
      <c r="AU150" s="2">
        <v>143</v>
      </c>
      <c r="AV150" s="13" t="s">
        <v>2778</v>
      </c>
      <c r="AW150" s="67" t="s">
        <v>2786</v>
      </c>
      <c r="AX150" s="66" t="s">
        <v>2787</v>
      </c>
      <c r="AY150" s="67" t="s">
        <v>2788</v>
      </c>
      <c r="AZ150" s="66" t="s">
        <v>2789</v>
      </c>
      <c r="BA150" s="67" t="s">
        <v>2790</v>
      </c>
      <c r="BB150" s="66" t="s">
        <v>2791</v>
      </c>
      <c r="BC150" s="67" t="s">
        <v>2792</v>
      </c>
      <c r="BE150" s="2">
        <v>143</v>
      </c>
      <c r="BF150" s="13" t="s">
        <v>2778</v>
      </c>
      <c r="BG150" s="68" t="s">
        <v>2793</v>
      </c>
      <c r="BH150" s="69" t="s">
        <v>2794</v>
      </c>
      <c r="BI150" s="68" t="s">
        <v>2795</v>
      </c>
      <c r="BJ150" s="69" t="s">
        <v>2796</v>
      </c>
      <c r="BK150" s="69" t="s">
        <v>2797</v>
      </c>
      <c r="BL150" s="69" t="s">
        <v>2798</v>
      </c>
      <c r="BM150" s="69" t="s">
        <v>2799</v>
      </c>
    </row>
    <row r="151" spans="2:65" ht="12.75">
      <c r="B151" s="4"/>
      <c r="C151" s="4"/>
      <c r="D151" s="138"/>
      <c r="E151" s="73">
        <v>141</v>
      </c>
      <c r="F151" s="299"/>
      <c r="G151" s="255" t="str">
        <f>IF(ISBLANK(BG7),IF(MOD(A7,2),LOOKUP(E151,AK7:AM182),LOOKUP(E151,AU:AW)),IF(C27&gt;2,LOOKUP(E151,BE:BG),IF(C27=2,LOOKUP(E151,AU:AW),LOOKUP(E151,AK:AM))))</f>
        <v>1 Timothy 4:7b-16,</v>
      </c>
      <c r="H151" s="111" t="str">
        <f>IF(ISBLANK(BG7),IF(MOD(A7,2),LOOKUP(E151,AK7:AN182),LOOKUP(E151,AU:AX)),IF(C27&gt;2,LOOKUP(E151,BE:BH),IF(C27=2,LOOKUP(E151,AU:AX),LOOKUP(E151,AK:AN))))</f>
        <v>James 2:1-13,</v>
      </c>
      <c r="I151" s="111" t="str">
        <f>IF(ISBLANK(BG7),IF(MOD(A7,2),LOOKUP(E151,AK7:AO182),LOOKUP(E151,AU:AY)),IF(C27&gt;2,LOOKUP(E151,BE:BI),IF(C27=2,LOOKUP(E151,AU:AY),LOOKUP(E151,AK:AO))))</f>
        <v>James 2:14-26,</v>
      </c>
      <c r="J151" s="111" t="str">
        <f>IF(ISBLANK(BG7),IF(MOD(A7,2),LOOKUP(E151,AK7:AP182),LOOKUP(E151,AU:AZ)),IF(C27&gt;2,LOOKUP(E151,BE:BJ),IF(C27=2,LOOKUP(E151,AU:AZ),LOOKUP(E151,AK:AP))))</f>
        <v>James 3:1-12,</v>
      </c>
      <c r="K151" s="111" t="str">
        <f>IF(ISBLANK(BG7),IF(MOD(A7,2),LOOKUP(E151,AK7:AQ182),LOOKUP(E151,AU:BA)),IF(C27&gt;2,LOOKUP(E151,BE:BK),IF(C27=2,LOOKUP(E151,AU:BA),LOOKUP(E151,AK:AQ))))</f>
        <v>James 3:13-4:12,</v>
      </c>
      <c r="L151" s="111" t="str">
        <f>IF(ISBLANK(BG7),IF(MOD(A7,2),LOOKUP(E151,AK7:AR182),LOOKUP(E151,AU:BB)),IF(C27&gt;2,LOOKUP(E151,BE:BL),IF(C27=2,LOOKUP(E151,AU:BB),LOOKUP(E151,AK:AR))))</f>
        <v>James 4:13-5:6,</v>
      </c>
      <c r="M151" s="178" t="str">
        <f>IF(ISBLANK(BG7),IF(MOD(A7,2),LOOKUP(E151,AK7:AS182),LOOKUP(E151,AU:BC)),IF(C27&gt;2,LOOKUP(E151,BE:BM),IF(C27=2,LOOKUP(E151,AU:BC),LOOKUP(E151,AK:AS))))</f>
        <v>James 5:7-20,</v>
      </c>
      <c r="N151" s="292"/>
      <c r="O151" s="78"/>
      <c r="Z151" s="12"/>
      <c r="AK151" s="2">
        <v>144</v>
      </c>
      <c r="AL151" s="13" t="s">
        <v>2800</v>
      </c>
      <c r="AM151" s="64" t="s">
        <v>2801</v>
      </c>
      <c r="AN151" s="64" t="s">
        <v>1032</v>
      </c>
      <c r="AO151" s="63" t="s">
        <v>2802</v>
      </c>
      <c r="AP151" s="64" t="s">
        <v>2803</v>
      </c>
      <c r="AQ151" s="63" t="s">
        <v>2804</v>
      </c>
      <c r="AR151" s="64" t="s">
        <v>2805</v>
      </c>
      <c r="AS151" s="144" t="s">
        <v>2806</v>
      </c>
      <c r="AU151" s="2">
        <v>144</v>
      </c>
      <c r="AV151" s="13" t="s">
        <v>2800</v>
      </c>
      <c r="AW151" s="67" t="s">
        <v>2807</v>
      </c>
      <c r="AX151" s="66" t="s">
        <v>2431</v>
      </c>
      <c r="AY151" s="67" t="s">
        <v>2432</v>
      </c>
      <c r="AZ151" s="66" t="s">
        <v>2433</v>
      </c>
      <c r="BA151" s="67" t="s">
        <v>2434</v>
      </c>
      <c r="BB151" s="66" t="s">
        <v>2435</v>
      </c>
      <c r="BC151" s="67" t="s">
        <v>2436</v>
      </c>
      <c r="BE151" s="2">
        <v>144</v>
      </c>
      <c r="BF151" s="13" t="s">
        <v>2800</v>
      </c>
      <c r="BG151" s="68" t="s">
        <v>2808</v>
      </c>
      <c r="BH151" s="69" t="s">
        <v>2809</v>
      </c>
      <c r="BI151" s="68" t="s">
        <v>2810</v>
      </c>
      <c r="BJ151" s="69" t="s">
        <v>2811</v>
      </c>
      <c r="BK151" s="69" t="s">
        <v>2812</v>
      </c>
      <c r="BL151" s="69" t="s">
        <v>2813</v>
      </c>
      <c r="BM151" s="69" t="s">
        <v>2814</v>
      </c>
    </row>
    <row r="152" spans="2:65" ht="12.75">
      <c r="B152" s="4"/>
      <c r="C152" s="4"/>
      <c r="D152" s="138"/>
      <c r="E152" s="73">
        <v>142</v>
      </c>
      <c r="F152" s="299"/>
      <c r="G152" s="199" t="str">
        <f>IF(ISBLANK(BG7),IF(MOD(A7,2),LOOKUP(E152,AK7:AM182),LOOKUP(E152,AU:AW)),IF(C27&gt;2,LOOKUP(E152,BE:BG),IF(C27=2,LOOKUP(E152,AU:AW),LOOKUP(E152,AK:AM))))</f>
        <v>John 8:47-59</v>
      </c>
      <c r="H152" s="260" t="str">
        <f>IF(ISBLANK(BG7),IF(MOD(A7,2),LOOKUP(E152,AK7:AN182),LOOKUP(E152,AU:AX)),IF(C27&gt;2,LOOKUP(E152,BE:BH),IF(C27=2,LOOKUP(E152,AU:AX),LOOKUP(E152,AK:AN))))</f>
        <v>Mark 14:53-65</v>
      </c>
      <c r="I152" s="260" t="str">
        <f>IF(ISBLANK(BG7),IF(MOD(A7,2),LOOKUP(E152,AK7:AO182),LOOKUP(E152,AU:AY)),IF(C27&gt;2,LOOKUP(E152,BE:BI),IF(C27=2,LOOKUP(E152,AU:AY),LOOKUP(E152,AK:AO))))</f>
        <v>Mark 14:66-72</v>
      </c>
      <c r="J152" s="260" t="str">
        <f>IF(ISBLANK(BG7),IF(MOD(A7,2),LOOKUP(E152,AK7:AP182),LOOKUP(E152,AU:AZ)),IF(C27&gt;2,LOOKUP(E152,BE:BJ),IF(C27=2,LOOKUP(E152,AU:AZ),LOOKUP(E152,AK:AP))))</f>
        <v>Mark 15:1-11</v>
      </c>
      <c r="K152" s="260" t="str">
        <f>IF(ISBLANK(BG7),IF(MOD(A7,2),LOOKUP(E152,AK7:AQ182),LOOKUP(E152,AU:BA)),IF(C27&gt;2,LOOKUP(E152,BE:BK),IF(C27=2,LOOKUP(E152,AU:BA),LOOKUP(E152,AK:AQ))))</f>
        <v>Mark 15:12-21</v>
      </c>
      <c r="L152" s="260" t="str">
        <f>IF(ISBLANK(BG7),IF(MOD(A7,2),LOOKUP(E152,AK7:AR182),LOOKUP(E152,AU:BB)),IF(C27&gt;2,LOOKUP(E152,BE:BL),IF(C27=2,LOOKUP(E152,AU:BB),LOOKUP(E152,AK:AR))))</f>
        <v>Mark 15:22-32</v>
      </c>
      <c r="M152" s="290" t="str">
        <f>IF(ISBLANK(BG7),IF(MOD(A7,2),LOOKUP(E152,AK7:AS182),LOOKUP(E152,AU:BC)),IF(C27&gt;2,LOOKUP(E152,BE:BM),IF(C27=2,LOOKUP(E152,AU:BC),LOOKUP(E152,AK:AS))))</f>
        <v>Mark 15:33-39</v>
      </c>
      <c r="N152" s="293"/>
      <c r="O152" s="99"/>
      <c r="Z152" s="12"/>
      <c r="AK152" s="2">
        <v>145</v>
      </c>
      <c r="AL152" s="13" t="s">
        <v>2815</v>
      </c>
      <c r="AM152" s="102" t="s">
        <v>923</v>
      </c>
      <c r="AN152" s="102" t="s">
        <v>2816</v>
      </c>
      <c r="AO152" s="101" t="s">
        <v>2817</v>
      </c>
      <c r="AP152" s="102" t="s">
        <v>2818</v>
      </c>
      <c r="AQ152" s="101" t="s">
        <v>2819</v>
      </c>
      <c r="AR152" s="102" t="s">
        <v>232</v>
      </c>
      <c r="AS152" s="249" t="s">
        <v>1649</v>
      </c>
      <c r="AU152" s="2">
        <v>145</v>
      </c>
      <c r="AV152" s="13" t="s">
        <v>2815</v>
      </c>
      <c r="AW152" s="67" t="s">
        <v>979</v>
      </c>
      <c r="AX152" s="66" t="s">
        <v>2820</v>
      </c>
      <c r="AY152" s="67" t="s">
        <v>923</v>
      </c>
      <c r="AZ152" s="66" t="s">
        <v>924</v>
      </c>
      <c r="BA152" s="67" t="s">
        <v>985</v>
      </c>
      <c r="BB152" s="66" t="s">
        <v>986</v>
      </c>
      <c r="BC152" s="67" t="s">
        <v>987</v>
      </c>
      <c r="BE152" s="2">
        <v>145</v>
      </c>
      <c r="BF152" s="13" t="s">
        <v>2815</v>
      </c>
      <c r="BG152" s="68" t="s">
        <v>2821</v>
      </c>
      <c r="BH152" s="69" t="s">
        <v>2822</v>
      </c>
      <c r="BI152" s="68" t="s">
        <v>2823</v>
      </c>
      <c r="BJ152" s="69" t="s">
        <v>2824</v>
      </c>
      <c r="BK152" s="69" t="s">
        <v>2825</v>
      </c>
      <c r="BL152" s="69" t="s">
        <v>2826</v>
      </c>
      <c r="BM152" s="69" t="s">
        <v>2827</v>
      </c>
    </row>
    <row r="153" spans="2:65" ht="12.75">
      <c r="B153" s="4"/>
      <c r="C153" s="4"/>
      <c r="D153" s="254">
        <f>B19+119</f>
        <v>41532</v>
      </c>
      <c r="E153" s="261">
        <v>143</v>
      </c>
      <c r="F153" s="300" t="s">
        <v>2828</v>
      </c>
      <c r="G153" s="107" t="str">
        <f>IF(ISBLANK(BG7),IF(MOD(A7,2),LOOKUP(E153,AK7:AM182),LOOKUP(E153,AU:AW)),IF(C27&gt;2,LOOKUP(E153,BE:BG),IF(C27=2,LOOKUP(E153,AU:AW),LOOKUP(E153,AK:AM))))</f>
        <v>1 Kings 12:21-33,</v>
      </c>
      <c r="H153" s="264" t="str">
        <f>IF(ISBLANK(BG7),IF(MOD(A7,2),LOOKUP(E153,AK7:AN182),LOOKUP(E153,AU:AX)),IF(C27&gt;2,LOOKUP(E153,BE:BH),IF(C27=2,LOOKUP(E153,AU:AX),LOOKUP(E153,AK:AN))))</f>
        <v>1 Kings 13:1-10,</v>
      </c>
      <c r="I153" s="264" t="str">
        <f>IF(ISBLANK(BG7),IF(MOD(A7,2),LOOKUP(E153,AK7:AO182),LOOKUP(E153,AU:AY)),IF(C27&gt;2,LOOKUP(E153,BE:BI),IF(C27=2,LOOKUP(E153,AU:AY),LOOKUP(E153,AK:AO))))</f>
        <v>1 Kings 16:23-34,</v>
      </c>
      <c r="J153" s="264" t="str">
        <f>IF(ISBLANK(BG7),IF(MOD(A7,2),LOOKUP(E153,AK7:AP182),LOOKUP(E153,AU:AZ)),IF(C27&gt;2,LOOKUP(E153,BE:BJ),IF(C27=2,LOOKUP(E153,AU:AZ),LOOKUP(E153,AK:AP))))</f>
        <v>1 Kings 17:1-24,</v>
      </c>
      <c r="K153" s="298" t="str">
        <f>IF(ISBLANK(BG7),IF(MOD(A7,2),LOOKUP(E153,AK7:AQ182),LOOKUP(E153,AU:BA)),IF(C27&gt;2,LOOKUP(E153,BE:BK),IF(C27=2,LOOKUP(E153,AU:BA),LOOKUP(E153,AK:AQ))))</f>
        <v>1 Kings 18:1-19,</v>
      </c>
      <c r="L153" s="264" t="str">
        <f>IF(ISBLANK(BG7),IF(MOD(A7,2),LOOKUP(E153,AK7:AR182),LOOKUP(E153,AU:BB)),IF(C27&gt;2,LOOKUP(E153,BE:BL),IF(C27=2,LOOKUP(E153,AU:BB),LOOKUP(E153,AK:AR))))</f>
        <v>1 Kings 18:20-40,</v>
      </c>
      <c r="M153" s="264" t="str">
        <f>IF(ISBLANK(BG7),IF(MOD(A7,2),LOOKUP(E153,AK7:AS182),LOOKUP(E153,AU:BC)),IF(C27&gt;2,LOOKUP(E153,BE:BM),IF(C27=2,LOOKUP(E153,AU:BC),LOOKUP(E153,AK:AS))))</f>
        <v>1 Kings 18:41-19:8,</v>
      </c>
      <c r="N153" s="265" t="s">
        <v>2828</v>
      </c>
      <c r="O153" s="109">
        <f>D153</f>
        <v>41532</v>
      </c>
      <c r="Z153" s="12"/>
      <c r="AK153" s="2">
        <v>146</v>
      </c>
      <c r="AL153" s="245" t="s">
        <v>2829</v>
      </c>
      <c r="AM153" s="64" t="s">
        <v>2830</v>
      </c>
      <c r="AN153" s="64" t="s">
        <v>2831</v>
      </c>
      <c r="AO153" s="63" t="s">
        <v>2832</v>
      </c>
      <c r="AP153" s="64" t="s">
        <v>2833</v>
      </c>
      <c r="AQ153" s="63" t="s">
        <v>2834</v>
      </c>
      <c r="AR153" s="64" t="s">
        <v>2835</v>
      </c>
      <c r="AS153" s="144" t="s">
        <v>2836</v>
      </c>
      <c r="AU153" s="2">
        <v>146</v>
      </c>
      <c r="AV153" s="245" t="s">
        <v>2829</v>
      </c>
      <c r="AW153" s="91" t="s">
        <v>2837</v>
      </c>
      <c r="AX153" s="90" t="s">
        <v>2838</v>
      </c>
      <c r="AY153" s="91" t="s">
        <v>2839</v>
      </c>
      <c r="AZ153" s="90" t="s">
        <v>2840</v>
      </c>
      <c r="BA153" s="91" t="s">
        <v>2841</v>
      </c>
      <c r="BB153" s="90" t="s">
        <v>2842</v>
      </c>
      <c r="BC153" s="91" t="s">
        <v>2843</v>
      </c>
      <c r="BE153" s="2">
        <v>146</v>
      </c>
      <c r="BF153" s="245" t="s">
        <v>2829</v>
      </c>
      <c r="BG153" s="68" t="s">
        <v>2844</v>
      </c>
      <c r="BH153" s="69" t="s">
        <v>2845</v>
      </c>
      <c r="BI153" s="68" t="s">
        <v>2846</v>
      </c>
      <c r="BJ153" s="69" t="s">
        <v>2847</v>
      </c>
      <c r="BK153" s="69" t="s">
        <v>2848</v>
      </c>
      <c r="BL153" s="69" t="s">
        <v>2849</v>
      </c>
      <c r="BM153" s="69" t="s">
        <v>2850</v>
      </c>
    </row>
    <row r="154" spans="2:65" ht="12.75">
      <c r="B154" s="4"/>
      <c r="C154" s="4"/>
      <c r="D154" s="138"/>
      <c r="E154" s="73">
        <v>144</v>
      </c>
      <c r="F154" s="299"/>
      <c r="G154" s="255" t="str">
        <f>IF(ISBLANK(BG7),IF(MOD(A7,2),LOOKUP(E154,AK7:AM182),LOOKUP(E154,AU:AW)),IF(C27&gt;2,LOOKUP(E154,BE:BG),IF(C27=2,LOOKUP(E154,AU:AW),LOOKUP(E154,AK:AM))))</f>
        <v>Acts 4:18-31,</v>
      </c>
      <c r="H154" s="111" t="str">
        <f>IF(ISBLANK(BG7),IF(MOD(A7,2),LOOKUP(E154,AK7:AN182),LOOKUP(E154,AU:AX)),IF(C27&gt;2,LOOKUP(E154,BE:BH),IF(C27=2,LOOKUP(E154,AU:AX),LOOKUP(E154,AK:AN))))</f>
        <v>Philippians 1:1-11,</v>
      </c>
      <c r="I154" s="111" t="str">
        <f>IF(ISBLANK(BG7),IF(MOD(A7,2),LOOKUP(E154,AK7:AO182),LOOKUP(E154,AU:AY)),IF(C27&gt;2,LOOKUP(E154,BE:BI),IF(C27=2,LOOKUP(E154,AU:AY),LOOKUP(E154,AK:AO))))</f>
        <v>Philippians 1:12-30,</v>
      </c>
      <c r="J154" s="111" t="str">
        <f>IF(ISBLANK(BG7),IF(MOD(A7,2),LOOKUP(E154,AK7:AP182),LOOKUP(E154,AU:AZ)),IF(C27&gt;2,LOOKUP(E154,BE:BJ),IF(C27=2,LOOKUP(E154,AU:AZ),LOOKUP(E154,AK:AP))))</f>
        <v>Philippians 2:1-11,</v>
      </c>
      <c r="K154" s="178" t="str">
        <f>IF(ISBLANK(BG7),IF(MOD(A7,2),LOOKUP(E154,AK7:AQ182),LOOKUP(E154,AU:BA)),IF(C27&gt;2,LOOKUP(E154,BE:BK),IF(C27=2,LOOKUP(E154,AU:BA),LOOKUP(E154,AK:AQ))))</f>
        <v>Philippians 2:12-30,</v>
      </c>
      <c r="L154" s="111" t="str">
        <f>IF(ISBLANK(BG7),IF(MOD(A7,2),LOOKUP(E154,AK7:AR182),LOOKUP(E154,AU:BB)),IF(C27&gt;2,LOOKUP(E154,BE:BL),IF(C27=2,LOOKUP(E154,AU:BB),LOOKUP(E154,AK:AR))))</f>
        <v>Philippians 3:1-16,</v>
      </c>
      <c r="M154" s="111" t="str">
        <f>IF(ISBLANK(BG7),IF(MOD(A7,2),LOOKUP(E154,AK7:AS182),LOOKUP(E154,AU:BC)),IF(C27&gt;2,LOOKUP(E154,BE:BM),IF(C27=2,LOOKUP(E154,AU:BC),LOOKUP(E154,AK:AS))))</f>
        <v>Philippians 3:17-4:7,</v>
      </c>
      <c r="N154" s="251"/>
      <c r="O154" s="78"/>
      <c r="Z154" s="12"/>
      <c r="AK154" s="2">
        <v>147</v>
      </c>
      <c r="AL154" s="13" t="s">
        <v>2851</v>
      </c>
      <c r="AM154" s="64" t="s">
        <v>2852</v>
      </c>
      <c r="AN154" s="64" t="s">
        <v>1157</v>
      </c>
      <c r="AO154" s="63" t="s">
        <v>1158</v>
      </c>
      <c r="AP154" s="64" t="s">
        <v>1159</v>
      </c>
      <c r="AQ154" s="63" t="s">
        <v>1160</v>
      </c>
      <c r="AR154" s="64" t="s">
        <v>1161</v>
      </c>
      <c r="AS154" s="144" t="s">
        <v>1162</v>
      </c>
      <c r="AU154" s="2">
        <v>147</v>
      </c>
      <c r="AV154" s="13" t="s">
        <v>2851</v>
      </c>
      <c r="AW154" s="67" t="s">
        <v>2853</v>
      </c>
      <c r="AX154" s="66" t="s">
        <v>2486</v>
      </c>
      <c r="AY154" s="67" t="s">
        <v>2487</v>
      </c>
      <c r="AZ154" s="66" t="s">
        <v>2488</v>
      </c>
      <c r="BA154" s="67" t="s">
        <v>2489</v>
      </c>
      <c r="BB154" s="66" t="s">
        <v>2490</v>
      </c>
      <c r="BC154" s="67" t="s">
        <v>2491</v>
      </c>
      <c r="BE154" s="2">
        <v>147</v>
      </c>
      <c r="BF154" s="13" t="s">
        <v>2851</v>
      </c>
      <c r="BG154" s="68" t="s">
        <v>2854</v>
      </c>
      <c r="BH154" s="69" t="s">
        <v>2855</v>
      </c>
      <c r="BI154" s="68" t="s">
        <v>2856</v>
      </c>
      <c r="BJ154" s="69" t="s">
        <v>2857</v>
      </c>
      <c r="BK154" s="69" t="s">
        <v>2858</v>
      </c>
      <c r="BL154" s="69" t="s">
        <v>2859</v>
      </c>
      <c r="BM154" s="69" t="s">
        <v>2860</v>
      </c>
    </row>
    <row r="155" spans="2:65" ht="12.75">
      <c r="B155" s="4"/>
      <c r="C155" s="4"/>
      <c r="D155" s="256"/>
      <c r="E155" s="266">
        <v>145</v>
      </c>
      <c r="F155" s="301"/>
      <c r="G155" s="199" t="str">
        <f>IF(ISBLANK(BG7),IF(MOD(A7,2),LOOKUP(E155,AK7:AM182),LOOKUP(E155,AU:AW)),IF(C27&gt;2,LOOKUP(E155,BE:BG),IF(C27=2,LOOKUP(E155,AU:AW),LOOKUP(E152,AK:AM))))</f>
        <v>John 10:31-42</v>
      </c>
      <c r="H155" s="260" t="str">
        <f>IF(ISBLANK(BG7),IF(MOD(A7,2),LOOKUP(E155,AK7:AN182),LOOKUP(E155,AU:AX)),IF(C27&gt;2,LOOKUP(E155,BE:BH),IF(C27=2,LOOKUP(E155,AU:AX),LOOKUP(E155,AK:AN))))</f>
        <v>Mark 15:40-47</v>
      </c>
      <c r="I155" s="260" t="str">
        <f>IF(ISBLANK(BG7),IF(MOD(A7,2),LOOKUP(E155,AK7:AO182),LOOKUP(E155,AU:AY)),IF(C27&gt;2,LOOKUP(E155,BE:BI),IF(C27=2,LOOKUP(E155,AU:AY),LOOKUP(E155,AK:AO))))</f>
        <v>Mark 16:1-8 (9-20)</v>
      </c>
      <c r="J155" s="260" t="str">
        <f>IF(ISBLANK(BG7),IF(MOD(A7,2),LOOKUP(E155,AK7:AP182),LOOKUP(E155,AU:AZ)),IF(C27&gt;2,LOOKUP(E155,BE:BJ),IF(C27=2,LOOKUP(E155,AU:AZ),LOOKUP(E155,AK:AP))))</f>
        <v>Matthew 2:1-12</v>
      </c>
      <c r="K155" s="290" t="str">
        <f>IF(ISBLANK(BG7),IF(MOD(A7,2),LOOKUP(E155,AK7:AQ182),LOOKUP(E155,AU:BA)),IF(C27&gt;2,LOOKUP(E155,BE:BK),IF(C27=2,LOOKUP(E155,AU:BA),LOOKUP(E155,AK:AQ))))</f>
        <v>Matthew 2:13-23</v>
      </c>
      <c r="L155" s="260" t="str">
        <f>IF(ISBLANK(BG7),IF(MOD(A7,2),LOOKUP(E155,AK7:AR182),LOOKUP(E155,AU:BB)),IF(C27&gt;2,LOOKUP(E155,BE:BL),IF(C27=2,LOOKUP(E155,AU:BB),LOOKUP(E155,AK:AR))))</f>
        <v>Matthew 3:1-12</v>
      </c>
      <c r="M155" s="260" t="str">
        <f>IF(ISBLANK(BG7),IF(MOD(A7,2),LOOKUP(E155,AK7:AS182),LOOKUP(E155,AU:BC)),IF(C27&gt;2,LOOKUP(E155,BE:BM),IF(C27=2,LOOKUP(E155,AU:BC),LOOKUP(E155,AK:AS))))</f>
        <v>Matthew 3:13-17</v>
      </c>
      <c r="N155" s="267"/>
      <c r="O155" s="78"/>
      <c r="Z155" s="12"/>
      <c r="AK155" s="2">
        <v>148</v>
      </c>
      <c r="AL155" s="248" t="s">
        <v>2861</v>
      </c>
      <c r="AM155" s="64" t="s">
        <v>2862</v>
      </c>
      <c r="AN155" s="64" t="s">
        <v>1650</v>
      </c>
      <c r="AO155" s="63" t="s">
        <v>1651</v>
      </c>
      <c r="AP155" s="64" t="s">
        <v>1652</v>
      </c>
      <c r="AQ155" s="63" t="s">
        <v>1704</v>
      </c>
      <c r="AR155" s="64" t="s">
        <v>1705</v>
      </c>
      <c r="AS155" s="144" t="s">
        <v>1706</v>
      </c>
      <c r="AU155" s="2">
        <v>148</v>
      </c>
      <c r="AV155" s="248" t="s">
        <v>2861</v>
      </c>
      <c r="AW155" s="104" t="s">
        <v>980</v>
      </c>
      <c r="AX155" s="103" t="s">
        <v>988</v>
      </c>
      <c r="AY155" s="104" t="s">
        <v>989</v>
      </c>
      <c r="AZ155" s="103" t="s">
        <v>990</v>
      </c>
      <c r="BA155" s="104" t="s">
        <v>1048</v>
      </c>
      <c r="BB155" s="103" t="s">
        <v>2863</v>
      </c>
      <c r="BC155" s="104" t="s">
        <v>1175</v>
      </c>
      <c r="BE155" s="2">
        <v>148</v>
      </c>
      <c r="BF155" s="248" t="s">
        <v>2861</v>
      </c>
      <c r="BG155" s="68" t="s">
        <v>2864</v>
      </c>
      <c r="BH155" s="69" t="s">
        <v>2865</v>
      </c>
      <c r="BI155" s="68" t="s">
        <v>2866</v>
      </c>
      <c r="BJ155" s="69" t="s">
        <v>2867</v>
      </c>
      <c r="BK155" s="69" t="s">
        <v>2868</v>
      </c>
      <c r="BL155" s="69" t="s">
        <v>2869</v>
      </c>
      <c r="BM155" s="69" t="s">
        <v>2870</v>
      </c>
    </row>
    <row r="156" spans="2:65" ht="12.75">
      <c r="B156" s="4"/>
      <c r="C156" s="4"/>
      <c r="D156" s="138">
        <f>B19+126</f>
        <v>41539</v>
      </c>
      <c r="E156" s="73">
        <v>146</v>
      </c>
      <c r="F156" s="250" t="s">
        <v>2871</v>
      </c>
      <c r="G156" s="107" t="str">
        <f>IF(ISBLANK(BG7),IF(MOD(A7,2),LOOKUP(E156,AK7:AM182),LOOKUP(E156,AU:AW)),IF(C27&gt;2,LOOKUP(E156,BE:BG),IF(C27=2,LOOKUP(E156,AU:AW),LOOKUP(E156,AK:AM))))</f>
        <v>1 Kings 19:8-21,</v>
      </c>
      <c r="H156" s="264" t="str">
        <f>IF(ISBLANK(BG7),IF(MOD(A7,2),LOOKUP(E156,AK7:AN182),LOOKUP(E156,AU:AX)),IF(C27&gt;2,LOOKUP(E156,BE:BH),IF(C27=2,LOOKUP(E156,AU:AX),LOOKUP(E156,AK:AN))))</f>
        <v>1 Kings 21:1-16,</v>
      </c>
      <c r="I156" s="264" t="str">
        <f>IF(ISBLANK(BG7),IF(MOD(A7,2),LOOKUP(E156,AK7:AO182),LOOKUP(E156,AU:AY)),IF(C27&gt;2,LOOKUP(E156,BE:BI),IF(C27=2,LOOKUP(E156,AU:AY),LOOKUP(E156,AK:AO))))</f>
        <v>1 Kings 21:17-29,</v>
      </c>
      <c r="J156" s="264" t="str">
        <f>IF(ISBLANK(BG7),IF(MOD(A7,2),LOOKUP(E156,AK7:AP182),LOOKUP(E156,AU:AZ)),IF(C27&gt;2,LOOKUP(E156,BE:BJ),IF(C27=2,LOOKUP(E156,AU:AZ),LOOKUP(E156,AK:AP))))</f>
        <v>1 Kings 22:1-28,</v>
      </c>
      <c r="K156" s="264" t="str">
        <f>IF(ISBLANK(BG7),IF(MOD(A7,2),LOOKUP(E156,AK7:AQ182),LOOKUP(E156,AU:BA)),IF(C27&gt;2,LOOKUP(E156,BE:BK),IF(C27=2,LOOKUP(E156,AU:BA),LOOKUP(E156,AK:AQ))))</f>
        <v>1 Kings 22:29-45,</v>
      </c>
      <c r="L156" s="264" t="str">
        <f>IF(ISBLANK(BG7),IF(MOD(A7,2),LOOKUP(E156,AK7:AR182),LOOKUP(E156,AU:BB)),IF(C27&gt;2,LOOKUP(E156,BE:BL),IF(C27=2,LOOKUP(E156,AU:BB),LOOKUP(E156,AK:AR))))</f>
        <v>2 Kings 1:2-17,</v>
      </c>
      <c r="M156" s="264" t="str">
        <f>IF(ISBLANK(BG7),IF(MOD(A7,2),LOOKUP(E156,AK7:AS182),LOOKUP(E156,AU:BC)),IF(C27&gt;2,LOOKUP(E156,BE:BM),IF(C27=2,LOOKUP(E156,AU:BC),LOOKUP(E156,AK:AS))))</f>
        <v>2 Kings 2:1-18,</v>
      </c>
      <c r="N156" s="251" t="s">
        <v>2871</v>
      </c>
      <c r="O156" s="56">
        <f>D156</f>
        <v>41539</v>
      </c>
      <c r="R156" s="59"/>
      <c r="Z156" s="12"/>
      <c r="AK156" s="2">
        <v>149</v>
      </c>
      <c r="AL156" s="13" t="s">
        <v>2872</v>
      </c>
      <c r="AM156" s="89" t="s">
        <v>2873</v>
      </c>
      <c r="AN156" s="89" t="s">
        <v>2874</v>
      </c>
      <c r="AO156" s="88" t="s">
        <v>2875</v>
      </c>
      <c r="AP156" s="89" t="s">
        <v>2876</v>
      </c>
      <c r="AQ156" s="88" t="s">
        <v>2877</v>
      </c>
      <c r="AR156" s="89" t="s">
        <v>2878</v>
      </c>
      <c r="AS156" s="242" t="s">
        <v>2879</v>
      </c>
      <c r="AU156" s="2">
        <v>149</v>
      </c>
      <c r="AV156" s="13" t="s">
        <v>2872</v>
      </c>
      <c r="AW156" s="67" t="s">
        <v>2880</v>
      </c>
      <c r="AX156" s="66" t="s">
        <v>2881</v>
      </c>
      <c r="AY156" s="67" t="s">
        <v>2882</v>
      </c>
      <c r="AZ156" s="66" t="s">
        <v>2883</v>
      </c>
      <c r="BA156" s="67" t="s">
        <v>2884</v>
      </c>
      <c r="BB156" s="66" t="s">
        <v>2885</v>
      </c>
      <c r="BC156" s="67" t="s">
        <v>2886</v>
      </c>
      <c r="BE156" s="2">
        <v>149</v>
      </c>
      <c r="BF156" s="13" t="s">
        <v>2872</v>
      </c>
      <c r="BG156" s="68" t="s">
        <v>2887</v>
      </c>
      <c r="BH156" s="69" t="s">
        <v>2888</v>
      </c>
      <c r="BI156" s="68" t="s">
        <v>2889</v>
      </c>
      <c r="BJ156" s="69" t="s">
        <v>2890</v>
      </c>
      <c r="BK156" s="69" t="s">
        <v>2891</v>
      </c>
      <c r="BL156" s="69" t="s">
        <v>2892</v>
      </c>
      <c r="BM156" s="69" t="s">
        <v>2893</v>
      </c>
    </row>
    <row r="157" spans="2:65" ht="12.75">
      <c r="B157" s="4"/>
      <c r="C157" s="4"/>
      <c r="D157" s="138"/>
      <c r="E157" s="73">
        <v>147</v>
      </c>
      <c r="F157" s="250"/>
      <c r="G157" s="255" t="str">
        <f>IF(ISBLANK(BG7),IF(MOD(A7,2),LOOKUP(E157,AK7:AM182),LOOKUP(E157,AU:AW)),IF(C27&gt;2,LOOKUP(E157,BE:BG),IF(C27=2,LOOKUP(E157,AU:AW),LOOKUP(E157,AK:AM))))</f>
        <v>Acts 5:34-42,</v>
      </c>
      <c r="H157" s="111" t="str">
        <f>IF(ISBLANK(BG7),IF(MOD(A7,2),LOOKUP(E157,AK7:AN182),LOOKUP(E157,AU:AX)),IF(C27&gt;2,LOOKUP(E157,BE:BH),IF(C27=2,LOOKUP(E157,AU:AX),LOOKUP(E157,AK:AN))))</f>
        <v>1 Corinthians 1:1-19,</v>
      </c>
      <c r="I157" s="111" t="str">
        <f>IF(ISBLANK(BG7),IF(MOD(A7,2),LOOKUP(E157,AK7:AO182),LOOKUP(E157,AU:AY)),IF(C27&gt;2,LOOKUP(E157,BE:BI),IF(C27=2,LOOKUP(E157,AU:AY),LOOKUP(E157,AK:AO))))</f>
        <v>1 Corinthians 1:20-31,</v>
      </c>
      <c r="J157" s="111" t="str">
        <f>IF(ISBLANK(BG7),IF(MOD(A7,2),LOOKUP(E157,AK7:AP182),LOOKUP(E157,AU:AZ)),IF(C27&gt;2,LOOKUP(E157,BE:BJ),IF(C27=2,LOOKUP(E157,AU:AZ),LOOKUP(E157,AK:AP))))</f>
        <v>1 Corinthians 2:1-13,</v>
      </c>
      <c r="K157" s="111" t="str">
        <f>IF(ISBLANK(BG7),IF(MOD(A7,2),LOOKUP(E157,AK7:AQ182),LOOKUP(E157,AU:BA)),IF(C27&gt;2,LOOKUP(E157,BE:BK),IF(C27=2,LOOKUP(E157,AU:BA),LOOKUP(E157,AK:AQ))))</f>
        <v>1 Corinthians 2:14-3:15,</v>
      </c>
      <c r="L157" s="111" t="str">
        <f>IF(ISBLANK(BG7),IF(MOD(A7,2),LOOKUP(E157,AK7:AR182),LOOKUP(E157,AU:BB)),IF(C27&gt;2,LOOKUP(E157,BE:BL),IF(C27=2,LOOKUP(E157,AU:BB),LOOKUP(E157,AK:AR))))</f>
        <v>1 Corinthians 3:16-23,</v>
      </c>
      <c r="M157" s="111" t="str">
        <f>IF(ISBLANK(BG7),IF(MOD(A7,2),LOOKUP(E157,AK7:AS182),LOOKUP(E157,AU:BC)),IF(C27&gt;2,LOOKUP(E157,BE:BM),IF(C27=2,LOOKUP(E157,AU:BC),LOOKUP(E157,AK:AS))))</f>
        <v>1 Corinthians 4:1-7,</v>
      </c>
      <c r="N157" s="251"/>
      <c r="O157" s="78"/>
      <c r="R157" s="59"/>
      <c r="Z157" s="12"/>
      <c r="AK157" s="2">
        <v>150</v>
      </c>
      <c r="AL157" s="13" t="s">
        <v>2894</v>
      </c>
      <c r="AM157" s="64" t="s">
        <v>2895</v>
      </c>
      <c r="AN157" s="64" t="s">
        <v>2896</v>
      </c>
      <c r="AO157" s="63" t="s">
        <v>1217</v>
      </c>
      <c r="AP157" s="64" t="s">
        <v>1218</v>
      </c>
      <c r="AQ157" s="63" t="s">
        <v>1219</v>
      </c>
      <c r="AR157" s="64" t="s">
        <v>1220</v>
      </c>
      <c r="AS157" s="144" t="s">
        <v>1221</v>
      </c>
      <c r="AU157" s="2">
        <v>150</v>
      </c>
      <c r="AV157" s="13" t="s">
        <v>2894</v>
      </c>
      <c r="AW157" s="67" t="s">
        <v>2897</v>
      </c>
      <c r="AX157" s="66" t="s">
        <v>2541</v>
      </c>
      <c r="AY157" s="67" t="s">
        <v>2542</v>
      </c>
      <c r="AZ157" s="66" t="s">
        <v>2543</v>
      </c>
      <c r="BA157" s="67" t="s">
        <v>2332</v>
      </c>
      <c r="BB157" s="66" t="s">
        <v>2544</v>
      </c>
      <c r="BC157" s="67" t="s">
        <v>2545</v>
      </c>
      <c r="BE157" s="2">
        <v>150</v>
      </c>
      <c r="BF157" s="13" t="s">
        <v>2894</v>
      </c>
      <c r="BG157" s="68" t="s">
        <v>2898</v>
      </c>
      <c r="BH157" s="69" t="s">
        <v>2899</v>
      </c>
      <c r="BI157" s="68" t="s">
        <v>2900</v>
      </c>
      <c r="BJ157" s="69" t="s">
        <v>2901</v>
      </c>
      <c r="BK157" s="69" t="s">
        <v>2902</v>
      </c>
      <c r="BL157" s="69" t="s">
        <v>2903</v>
      </c>
      <c r="BM157" s="69" t="s">
        <v>2904</v>
      </c>
    </row>
    <row r="158" spans="2:65" ht="12.75">
      <c r="B158" s="4"/>
      <c r="C158" s="4"/>
      <c r="D158" s="138"/>
      <c r="E158" s="73">
        <v>148</v>
      </c>
      <c r="F158" s="250"/>
      <c r="G158" s="199" t="str">
        <f>IF(ISBLANK(BG7),IF(MOD(A7,2),LOOKUP(E158,AK7:AM182),LOOKUP(E158,AU:AW)),IF(C27&gt;2,LOOKUP(E158,BE:BG),IF(C27=2,LOOKUP(E158,AU:AW),LOOKUP(E158,AK:AM))))</f>
        <v>John 11:45-57</v>
      </c>
      <c r="H158" s="260" t="str">
        <f>IF(ISBLANK(BG7),IF(MOD(A7,2),LOOKUP(E158,AK7:AN182),LOOKUP(E158,AU:AX)),IF(C27&gt;2,LOOKUP(E158,BE:BH),IF(C27=2,LOOKUP(E158,AU:AX),LOOKUP(E158,AK:AN))))</f>
        <v>Matthew 4:1-11</v>
      </c>
      <c r="I158" s="260" t="str">
        <f>IF(ISBLANK(BG7),IF(MOD(A7,2),LOOKUP(E158,AK7:AO182),LOOKUP(E158,AU:AY)),IF(C27&gt;2,LOOKUP(E158,BE:BI),IF(C27=2,LOOKUP(E158,AU:AY),LOOKUP(E158,AK:AO))))</f>
        <v>Matthew 4:12-17</v>
      </c>
      <c r="J158" s="260" t="str">
        <f>IF(ISBLANK(BG7),IF(MOD(A7,2),LOOKUP(E158,AK7:AP182),LOOKUP(E158,AU:AZ)),IF(C27&gt;2,LOOKUP(E158,BE:BJ),IF(C27=2,LOOKUP(E158,AU:AZ),LOOKUP(E158,AK:AP))))</f>
        <v>Matthew 4:18-25</v>
      </c>
      <c r="K158" s="260" t="str">
        <f>IF(ISBLANK(BG7),IF(MOD(A7,2),LOOKUP(E158,AK7:AQ182),LOOKUP(E158,AU:BA)),IF(C27&gt;2,LOOKUP(E158,BE:BK),IF(C27=2,LOOKUP(E158,AU:BA),LOOKUP(E158,AK:AQ))))</f>
        <v>Matthew 5:1-10</v>
      </c>
      <c r="L158" s="260" t="str">
        <f>IF(ISBLANK(BG7),IF(MOD(A7,2),LOOKUP(E158,AK7:AR182),LOOKUP(E158,AU:BB)),IF(C27&gt;2,LOOKUP(E158,BE:BL),IF(C27=2,LOOKUP(E158,AU:BB),LOOKUP(E158,AK:AR))))</f>
        <v>Matthew 5:11-16</v>
      </c>
      <c r="M158" s="260" t="str">
        <f>IF(ISBLANK(BG7),IF(MOD(A7,2),LOOKUP(E158,AK7:AS182),LOOKUP(E158,AU:BC)),IF(C27&gt;2,LOOKUP(E158,BE:BM),IF(C27=2,LOOKUP(E158,AU:BC),LOOKUP(E158,AK:AS))))</f>
        <v>Matthew 5:17-20</v>
      </c>
      <c r="N158" s="251"/>
      <c r="O158" s="99"/>
      <c r="Z158" s="12"/>
      <c r="AK158" s="2">
        <v>151</v>
      </c>
      <c r="AL158" s="13" t="s">
        <v>2905</v>
      </c>
      <c r="AM158" s="102" t="s">
        <v>2906</v>
      </c>
      <c r="AN158" s="102" t="s">
        <v>980</v>
      </c>
      <c r="AO158" s="101" t="s">
        <v>981</v>
      </c>
      <c r="AP158" s="102" t="s">
        <v>982</v>
      </c>
      <c r="AQ158" s="101" t="s">
        <v>1763</v>
      </c>
      <c r="AR158" s="102" t="s">
        <v>1042</v>
      </c>
      <c r="AS158" s="249" t="s">
        <v>1764</v>
      </c>
      <c r="AU158" s="2">
        <v>151</v>
      </c>
      <c r="AV158" s="13" t="s">
        <v>2905</v>
      </c>
      <c r="AW158" s="67" t="s">
        <v>1763</v>
      </c>
      <c r="AX158" s="66" t="s">
        <v>2907</v>
      </c>
      <c r="AY158" s="67" t="s">
        <v>1589</v>
      </c>
      <c r="AZ158" s="66" t="s">
        <v>1590</v>
      </c>
      <c r="BA158" s="67" t="s">
        <v>1641</v>
      </c>
      <c r="BB158" s="66" t="s">
        <v>1642</v>
      </c>
      <c r="BC158" s="67" t="s">
        <v>1643</v>
      </c>
      <c r="BE158" s="2">
        <v>151</v>
      </c>
      <c r="BF158" s="13" t="s">
        <v>2905</v>
      </c>
      <c r="BG158" s="68" t="s">
        <v>2908</v>
      </c>
      <c r="BH158" s="69" t="s">
        <v>2909</v>
      </c>
      <c r="BI158" s="68" t="s">
        <v>2910</v>
      </c>
      <c r="BJ158" s="69" t="s">
        <v>2911</v>
      </c>
      <c r="BK158" s="69" t="s">
        <v>2912</v>
      </c>
      <c r="BL158" s="69" t="s">
        <v>2913</v>
      </c>
      <c r="BM158" s="69" t="s">
        <v>2914</v>
      </c>
    </row>
    <row r="159" spans="2:65" ht="12.75">
      <c r="B159" s="4"/>
      <c r="C159" s="4"/>
      <c r="D159" s="254">
        <f>B19+133</f>
        <v>41546</v>
      </c>
      <c r="E159" s="261">
        <v>149</v>
      </c>
      <c r="F159" s="262" t="s">
        <v>2915</v>
      </c>
      <c r="G159" s="107" t="str">
        <f>IF(ISBLANK(BG7),IF(MOD(A7,2),LOOKUP(E159,AK7:AM182),LOOKUP(E159,AU:AW)),IF(C27&gt;2,LOOKUP(E159,BE:BG),IF(C27=2,LOOKUP(E159,AU:AW),LOOKUP(E159,AK:AM))))</f>
        <v>2 Kings 4:8-37,</v>
      </c>
      <c r="H159" s="264" t="str">
        <f>IF(ISBLANK(BG7),IF(MOD(A7,2),LOOKUP(E159,AK7:AN182),LOOKUP(E159,AU:AX)),IF(C27&gt;2,LOOKUP(E159,BE:BH),IF(C27=2,LOOKUP(E159,AU:AX),LOOKUP(E159,AK:AN))))</f>
        <v>2 Kings 5:1-19,</v>
      </c>
      <c r="I159" s="264" t="str">
        <f>IF(ISBLANK(BG7),IF(MOD(A7,2),LOOKUP(E159,AK7:AO182),LOOKUP(E159,AU:AY)),IF(C27&gt;2,LOOKUP(E159,BE:BI),IF(C27=2,LOOKUP(E159,AU:AY),LOOKUP(E159,AK:AO))))</f>
        <v>2 Kings 5:19-27,</v>
      </c>
      <c r="J159" s="264" t="str">
        <f>IF(ISBLANK(BG7),IF(MOD(A7,2),LOOKUP(E159,AK7:AP182),LOOKUP(E159,AU:AZ)),IF(C27&gt;2,LOOKUP(E159,BE:BJ),IF(C27=2,LOOKUP(E159,AU:AZ),LOOKUP(E159,AK:AP))))</f>
        <v>2 Kings 6:1-23,</v>
      </c>
      <c r="K159" s="264" t="str">
        <f>IF(ISBLANK(BG7),IF(MOD(A7,2),LOOKUP(E159,AK7:AQ182),LOOKUP(E159,AU:BA)),IF(C27&gt;2,LOOKUP(E159,BE:BK),IF(C27=2,LOOKUP(E159,AU:BA),LOOKUP(E159,AK:AQ))))</f>
        <v>2 Kings 9:1-16,</v>
      </c>
      <c r="L159" s="264" t="str">
        <f>IF(ISBLANK(BG7),IF(MOD(A7,2),LOOKUP(E159,AK7:AR182),LOOKUP(E159,AU:BB)),IF(C27&gt;2,LOOKUP(E159,BE:BL),IF(C27=2,LOOKUP(E159,AU:BB),LOOKUP(E159,AK:AR))))</f>
        <v>2 Kings 9:17-37,</v>
      </c>
      <c r="M159" s="264" t="str">
        <f>IF(ISBLANK(BG7),IF(MOD(A7,2),LOOKUP(E159,AK7:AS182),LOOKUP(E159,AU:BC)),IF(C27&gt;2,LOOKUP(E159,BE:BM),IF(C27=2,LOOKUP(E159,AU:BC),LOOKUP(E159,AK:AS))))</f>
        <v>2 Kings 11:1-20a,</v>
      </c>
      <c r="N159" s="265" t="s">
        <v>2915</v>
      </c>
      <c r="O159" s="109">
        <f>D159</f>
        <v>41546</v>
      </c>
      <c r="Z159" s="12"/>
      <c r="AK159" s="2">
        <v>152</v>
      </c>
      <c r="AL159" s="245" t="s">
        <v>2916</v>
      </c>
      <c r="AM159" s="64" t="s">
        <v>2917</v>
      </c>
      <c r="AN159" s="64" t="s">
        <v>2918</v>
      </c>
      <c r="AO159" s="63" t="s">
        <v>2919</v>
      </c>
      <c r="AP159" s="64" t="s">
        <v>2920</v>
      </c>
      <c r="AQ159" s="63" t="s">
        <v>2921</v>
      </c>
      <c r="AR159" s="64" t="s">
        <v>2922</v>
      </c>
      <c r="AS159" s="144" t="s">
        <v>2923</v>
      </c>
      <c r="AU159" s="2">
        <v>152</v>
      </c>
      <c r="AV159" s="245" t="s">
        <v>2916</v>
      </c>
      <c r="AW159" s="91" t="s">
        <v>2924</v>
      </c>
      <c r="AX159" s="90" t="s">
        <v>2925</v>
      </c>
      <c r="AY159" s="91" t="s">
        <v>2926</v>
      </c>
      <c r="AZ159" s="90" t="s">
        <v>2927</v>
      </c>
      <c r="BA159" s="91" t="s">
        <v>2928</v>
      </c>
      <c r="BB159" s="90" t="s">
        <v>2929</v>
      </c>
      <c r="BC159" s="91" t="s">
        <v>2930</v>
      </c>
      <c r="BE159" s="2">
        <v>152</v>
      </c>
      <c r="BF159" s="245" t="s">
        <v>2916</v>
      </c>
      <c r="BG159" s="68" t="s">
        <v>2931</v>
      </c>
      <c r="BH159" s="69" t="s">
        <v>2932</v>
      </c>
      <c r="BI159" s="68" t="s">
        <v>2933</v>
      </c>
      <c r="BJ159" s="69" t="s">
        <v>2934</v>
      </c>
      <c r="BK159" s="69" t="s">
        <v>2935</v>
      </c>
      <c r="BL159" s="69" t="s">
        <v>2936</v>
      </c>
      <c r="BM159" s="69" t="s">
        <v>2937</v>
      </c>
    </row>
    <row r="160" spans="2:65" ht="12.75">
      <c r="B160" s="4"/>
      <c r="C160" s="4"/>
      <c r="D160" s="138"/>
      <c r="E160" s="73">
        <v>150</v>
      </c>
      <c r="F160" s="250"/>
      <c r="G160" s="255" t="str">
        <f>IF(ISBLANK(BG7),IF(MOD(A7,2),LOOKUP(E160,AK7:AM182),LOOKUP(E160,AU:AW)),IF(C27&gt;2,LOOKUP(E160,BE:BG),IF(C27=2,LOOKUP(E160,AU:AW),LOOKUP(E160,AK:AM))))</f>
        <v>Acts 9:10-31,</v>
      </c>
      <c r="H160" s="111" t="str">
        <f>IF(ISBLANK(BG7),IF(MOD(A7,2),LOOKUP(E160,AK7:AN182),LOOKUP(E160,AU:AX)),IF(C27&gt;2,LOOKUP(E160,BE:BH),IF(C27=2,LOOKUP(E160,AU:AX),LOOKUP(E160,AK:AN))))</f>
        <v>1 Corinthians 4:8-21,</v>
      </c>
      <c r="I160" s="111" t="str">
        <f>IF(ISBLANK(BG7),IF(MOD(A7,2),LOOKUP(E160,AK7:AO182),LOOKUP(E160,AU:AY)),IF(C27&gt;2,LOOKUP(E160,BE:BI),IF(C27=2,LOOKUP(E160,AU:AY),LOOKUP(E160,AK:AO))))</f>
        <v>1 Corinthians 5:1-8,</v>
      </c>
      <c r="J160" s="111" t="str">
        <f>IF(ISBLANK(BG7),IF(MOD(A7,2),LOOKUP(E160,AK7:AP182),LOOKUP(E160,AU:AZ)),IF(C27&gt;2,LOOKUP(E160,BE:BJ),IF(C27=2,LOOKUP(E160,AU:AZ),LOOKUP(E160,AK:AP))))</f>
        <v>1 Corinthians 5:9-6:11,</v>
      </c>
      <c r="K160" s="111" t="str">
        <f>IF(ISBLANK(BG7),IF(MOD(A7,2),LOOKUP(E160,AK7:AQ182),LOOKUP(E160,AU:BA)),IF(C27&gt;2,LOOKUP(E160,BE:BK),IF(C27=2,LOOKUP(E160,AU:BA),LOOKUP(E160,AK:AQ))))</f>
        <v>1 Corinthians 6:12-20,</v>
      </c>
      <c r="L160" s="111" t="str">
        <f>IF(ISBLANK(BG7),IF(MOD(A7,2),LOOKUP(E160,AK7:AR182),LOOKUP(E160,AU:BB)),IF(C27&gt;2,LOOKUP(E160,BE:BL),IF(C27=2,LOOKUP(E160,AU:BB),LOOKUP(E160,AK:AR))))</f>
        <v>1 Corinthians 7:1-9,</v>
      </c>
      <c r="M160" s="111" t="str">
        <f>IF(ISBLANK(BG7),IF(MOD(A7,2),LOOKUP(E160,AK7:AS182),LOOKUP(E160,AU:BC)),IF(C27&gt;2,LOOKUP(E160,BE:BM),IF(C27=2,LOOKUP(E160,AU:BC),LOOKUP(E160,AK:AS))))</f>
        <v>1 Corinthians 7:10-24,</v>
      </c>
      <c r="N160" s="251"/>
      <c r="O160" s="78"/>
      <c r="Z160" s="12"/>
      <c r="AK160" s="2">
        <v>153</v>
      </c>
      <c r="AL160" s="13" t="s">
        <v>2938</v>
      </c>
      <c r="AM160" s="64" t="s">
        <v>2939</v>
      </c>
      <c r="AN160" s="64" t="s">
        <v>1271</v>
      </c>
      <c r="AO160" s="63" t="s">
        <v>1272</v>
      </c>
      <c r="AP160" s="64" t="s">
        <v>1273</v>
      </c>
      <c r="AQ160" s="63" t="s">
        <v>1274</v>
      </c>
      <c r="AR160" s="64" t="s">
        <v>1275</v>
      </c>
      <c r="AS160" s="144" t="s">
        <v>1276</v>
      </c>
      <c r="AU160" s="2">
        <v>153</v>
      </c>
      <c r="AV160" s="13" t="s">
        <v>2938</v>
      </c>
      <c r="AW160" s="67" t="s">
        <v>2940</v>
      </c>
      <c r="AX160" s="66" t="s">
        <v>2595</v>
      </c>
      <c r="AY160" s="67" t="s">
        <v>2596</v>
      </c>
      <c r="AZ160" s="66" t="s">
        <v>2597</v>
      </c>
      <c r="BA160" s="67" t="s">
        <v>2598</v>
      </c>
      <c r="BB160" s="66" t="s">
        <v>2599</v>
      </c>
      <c r="BC160" s="67" t="s">
        <v>2600</v>
      </c>
      <c r="BE160" s="2">
        <v>153</v>
      </c>
      <c r="BF160" s="13" t="s">
        <v>2938</v>
      </c>
      <c r="BG160" s="68" t="s">
        <v>2941</v>
      </c>
      <c r="BH160" s="69" t="s">
        <v>2942</v>
      </c>
      <c r="BI160" s="68" t="s">
        <v>2943</v>
      </c>
      <c r="BJ160" s="69" t="s">
        <v>2944</v>
      </c>
      <c r="BK160" s="69" t="s">
        <v>2945</v>
      </c>
      <c r="BL160" s="69" t="s">
        <v>2946</v>
      </c>
      <c r="BM160" s="69" t="s">
        <v>2947</v>
      </c>
    </row>
    <row r="161" spans="2:65" ht="12.75">
      <c r="B161" s="4"/>
      <c r="C161" s="4"/>
      <c r="D161" s="256"/>
      <c r="E161" s="266">
        <v>151</v>
      </c>
      <c r="F161" s="258"/>
      <c r="G161" s="199" t="str">
        <f>IF(ISBLANK(BG7),IF(MOD(A7,2),LOOKUP(E161,AK7:AM182),LOOKUP(E161,AU:AW)),IF(C27&gt;2,LOOKUP(E161,BE:BG),IF(C27=2,LOOKUP(E161,AU:AW),LOOKUP(E161,AK:AM))))</f>
        <v>Luke 3:7-18</v>
      </c>
      <c r="H161" s="260" t="str">
        <f>IF(ISBLANK(BG7),IF(MOD(A7,2),LOOKUP(E161,AK7:AN182),LOOKUP(E161,AU:AX)),IF(C27&gt;2,LOOKUP(E161,BE:BH),IF(C27=2,LOOKUP(E161,AU:AX),LOOKUP(E161,AK:AN))))</f>
        <v>Matthew 5:21-26</v>
      </c>
      <c r="I161" s="260" t="str">
        <f>IF(ISBLANK(BG7),IF(MOD(A7,2),LOOKUP(E161,AK7:AO182),LOOKUP(E161,AU:AY)),IF(C27&gt;2,LOOKUP(E161,BE:BI),IF(C27=2,LOOKUP(E161,AU:AY),LOOKUP(E161,AK:AO))))</f>
        <v>Matthew 5:27-37</v>
      </c>
      <c r="J161" s="260" t="str">
        <f>IF(ISBLANK(BG7),IF(MOD(A7,2),LOOKUP(E161,AK7:AP182),LOOKUP(E161,AU:AZ)),IF(C27&gt;2,LOOKUP(E161,BE:BJ),IF(C27=2,LOOKUP(E161,AU:AZ),LOOKUP(E161,AK:AP))))</f>
        <v>Matthew 5:38-48</v>
      </c>
      <c r="K161" s="260" t="str">
        <f>IF(ISBLANK(BG7),IF(MOD(A7,2),LOOKUP(E161,AK7:AQ182),LOOKUP(E161,AU:BA)),IF(C27&gt;2,LOOKUP(E161,BE:BK),IF(C27=2,LOOKUP(E161,AU:BA),LOOKUP(E161,AK:AQ))))</f>
        <v>Matthew 6:1-6, 16-18</v>
      </c>
      <c r="L161" s="260" t="str">
        <f>IF(ISBLANK(BG7),IF(MOD(A7,2),LOOKUP(E161,AK7:AR182),LOOKUP(E161,AU:BB)),IF(C27&gt;2,LOOKUP(E161,BE:BL),IF(C27=2,LOOKUP(E161,AU:BB),LOOKUP(E161,AK:AR))))</f>
        <v>Matthew 6:7-15</v>
      </c>
      <c r="M161" s="260" t="str">
        <f>IF(ISBLANK(BG7),IF(MOD(A7,2),LOOKUP(E161,AK7:AS182),LOOKUP(E161,AU:BC)),IF(C27&gt;2,LOOKUP(E161,BE:BM),IF(C27=2,LOOKUP(E161,AU:BC),LOOKUP(E161,AK:AS))))</f>
        <v>Matthew 6:19-24</v>
      </c>
      <c r="N161" s="267"/>
      <c r="O161" s="78"/>
      <c r="Z161" s="12"/>
      <c r="AK161" s="2">
        <v>154</v>
      </c>
      <c r="AL161" s="248" t="s">
        <v>2948</v>
      </c>
      <c r="AM161" s="64" t="s">
        <v>1644</v>
      </c>
      <c r="AN161" s="64" t="s">
        <v>1765</v>
      </c>
      <c r="AO161" s="63" t="s">
        <v>1045</v>
      </c>
      <c r="AP161" s="64" t="s">
        <v>1046</v>
      </c>
      <c r="AQ161" s="63" t="s">
        <v>1047</v>
      </c>
      <c r="AR161" s="64" t="s">
        <v>2949</v>
      </c>
      <c r="AS161" s="144" t="s">
        <v>1870</v>
      </c>
      <c r="AU161" s="2">
        <v>154</v>
      </c>
      <c r="AV161" s="248" t="s">
        <v>2948</v>
      </c>
      <c r="AW161" s="104" t="s">
        <v>2067</v>
      </c>
      <c r="AX161" s="103" t="s">
        <v>1644</v>
      </c>
      <c r="AY161" s="104" t="s">
        <v>1645</v>
      </c>
      <c r="AZ161" s="103" t="s">
        <v>1646</v>
      </c>
      <c r="BA161" s="104" t="s">
        <v>1697</v>
      </c>
      <c r="BB161" s="103" t="s">
        <v>2950</v>
      </c>
      <c r="BC161" s="104" t="s">
        <v>1699</v>
      </c>
      <c r="BE161" s="2">
        <v>154</v>
      </c>
      <c r="BF161" s="248" t="s">
        <v>2948</v>
      </c>
      <c r="BG161" s="68" t="s">
        <v>2951</v>
      </c>
      <c r="BH161" s="69" t="s">
        <v>2952</v>
      </c>
      <c r="BI161" s="68" t="s">
        <v>2953</v>
      </c>
      <c r="BJ161" s="69" t="s">
        <v>2954</v>
      </c>
      <c r="BK161" s="69" t="s">
        <v>2955</v>
      </c>
      <c r="BL161" s="69" t="s">
        <v>2956</v>
      </c>
      <c r="BM161" s="69" t="s">
        <v>2957</v>
      </c>
    </row>
    <row r="162" spans="2:65" ht="12.75">
      <c r="B162" s="4"/>
      <c r="C162" s="4"/>
      <c r="D162" s="138">
        <f>B19+140</f>
        <v>41553</v>
      </c>
      <c r="E162" s="73">
        <v>152</v>
      </c>
      <c r="F162" s="250" t="s">
        <v>2958</v>
      </c>
      <c r="G162" s="107" t="str">
        <f>IF(ISBLANK(BG7),IF(MOD(A7,2),LOOKUP(E162,AK7:AM182),LOOKUP(E162,AU:AW)),IF(C27&gt;2,LOOKUP(E162,BE:BG),IF(C27=2,LOOKUP(E162,AU:AW),LOOKUP(E162,AK:AM))))</f>
        <v>2 Kings 17:1-18,</v>
      </c>
      <c r="H162" s="264" t="str">
        <f>IF(ISBLANK(BG7),IF(MOD(A7,2),LOOKUP(E162,AK7:AN182),LOOKUP(E162,AU:AX)),IF(C27&gt;2,LOOKUP(E162,BE:BH),IF(C27=2,LOOKUP(E162,AU:AX),LOOKUP(E162,AK:AN))))</f>
        <v>2 Kings 17:24-41,</v>
      </c>
      <c r="I162" s="264" t="str">
        <f>IF(ISBLANK(BG7),IF(MOD(A7,2),LOOKUP(E162,AK7:AO182),LOOKUP(E162,AU:AY)),IF(C27&gt;2,LOOKUP(E162,BE:BI),IF(C27=2,LOOKUP(E162,AU:AY),LOOKUP(E162,AK:AO))))</f>
        <v>2 Chronicles 29:1-3; 30:1 (2-9) 10-27,</v>
      </c>
      <c r="J162" s="264" t="str">
        <f>IF(ISBLANK(BG7),IF(MOD(A7,2),LOOKUP(E162,AK7:AP182),LOOKUP(E162,AU:AZ)),IF(C27&gt;2,LOOKUP(E162,BE:BJ),IF(C27=2,LOOKUP(E162,AU:AZ),LOOKUP(E162,AK:AP))))</f>
        <v>2 Kings 18:9-25,</v>
      </c>
      <c r="K162" s="264" t="str">
        <f>IF(ISBLANK(BG7),IF(MOD(A7,2),LOOKUP(E162,AK7:AQ182),LOOKUP(E162,AU:BA)),IF(C27&gt;2,LOOKUP(E162,BE:BK),IF(C27=2,LOOKUP(E162,AU:BA),LOOKUP(E162,AK:AQ))))</f>
        <v>2 Kings 18:28-37,</v>
      </c>
      <c r="L162" s="264" t="str">
        <f>IF(ISBLANK(BG7),IF(MOD(A7,2),LOOKUP(E162,AK7:AR182),LOOKUP(E162,AU:BB)),IF(C27&gt;2,LOOKUP(E162,BE:BL),IF(C27=2,LOOKUP(E162,AU:BB),LOOKUP(E162,AK:AR))))</f>
        <v>2 Kings 19:1-20,</v>
      </c>
      <c r="M162" s="264" t="str">
        <f>IF(ISBLANK(BG7),IF(MOD(A7,2),LOOKUP(E162,AK7:AS182),LOOKUP(E162,AU:BC)),IF(C27&gt;2,LOOKUP(E162,BE:BM),IF(C27=2,LOOKUP(E162,AU:BC),LOOKUP(E162,AK:AS))))</f>
        <v>2 Kings 19:21-36,</v>
      </c>
      <c r="N162" s="251" t="s">
        <v>2958</v>
      </c>
      <c r="O162" s="56">
        <f>D162</f>
        <v>41553</v>
      </c>
      <c r="Z162" s="12"/>
      <c r="AK162" s="2">
        <v>155</v>
      </c>
      <c r="AL162" s="13" t="s">
        <v>2959</v>
      </c>
      <c r="AM162" s="89" t="s">
        <v>2960</v>
      </c>
      <c r="AN162" s="89" t="s">
        <v>2961</v>
      </c>
      <c r="AO162" s="88" t="s">
        <v>2962</v>
      </c>
      <c r="AP162" s="89" t="s">
        <v>2963</v>
      </c>
      <c r="AQ162" s="88" t="s">
        <v>2964</v>
      </c>
      <c r="AR162" s="89" t="s">
        <v>2965</v>
      </c>
      <c r="AS162" s="242" t="s">
        <v>2966</v>
      </c>
      <c r="AU162" s="2">
        <v>155</v>
      </c>
      <c r="AV162" s="13" t="s">
        <v>2959</v>
      </c>
      <c r="AW162" s="67" t="s">
        <v>2967</v>
      </c>
      <c r="AX162" s="66" t="s">
        <v>2968</v>
      </c>
      <c r="AY162" s="67" t="s">
        <v>2969</v>
      </c>
      <c r="AZ162" s="66" t="s">
        <v>2970</v>
      </c>
      <c r="BA162" s="67" t="s">
        <v>2971</v>
      </c>
      <c r="BB162" s="66" t="s">
        <v>2972</v>
      </c>
      <c r="BC162" s="67" t="s">
        <v>2973</v>
      </c>
      <c r="BE162" s="2">
        <v>155</v>
      </c>
      <c r="BF162" s="13" t="s">
        <v>2959</v>
      </c>
      <c r="BG162" s="68" t="s">
        <v>2974</v>
      </c>
      <c r="BH162" s="69" t="s">
        <v>2975</v>
      </c>
      <c r="BI162" s="68" t="s">
        <v>2976</v>
      </c>
      <c r="BJ162" s="69" t="s">
        <v>2977</v>
      </c>
      <c r="BK162" s="69" t="s">
        <v>2978</v>
      </c>
      <c r="BL162" s="69" t="s">
        <v>2979</v>
      </c>
      <c r="BM162" s="69" t="s">
        <v>2980</v>
      </c>
    </row>
    <row r="163" spans="2:65" ht="12.75">
      <c r="B163" s="4"/>
      <c r="C163" s="279"/>
      <c r="D163" s="138"/>
      <c r="E163" s="73">
        <v>153</v>
      </c>
      <c r="F163" s="250"/>
      <c r="G163" s="255" t="str">
        <f>IF(ISBLANK(BG7),IF(MOD(A7,2),LOOKUP(E163,AK7:AM182),LOOKUP(E163,AU:AW)),IF(C27&gt;2,LOOKUP(E163,BE:BG),IF(C27=2,LOOKUP(E163,AU:AW),LOOKUP(E163,AK:AM))))</f>
        <v>Acts 9:36-43,</v>
      </c>
      <c r="H163" s="111" t="str">
        <f>IF(ISBLANK(BG7),IF(MOD(A7,2),LOOKUP(E163,AK7:AN182),LOOKUP(E163,AU:AX)),IF(C27&gt;2,LOOKUP(E163,BE:BH),IF(C27=2,LOOKUP(E163,AU:AX),LOOKUP(E163,AK:AN))))</f>
        <v>1 Corinthians 7:25-31,</v>
      </c>
      <c r="I163" s="111" t="str">
        <f>IF(ISBLANK(BG7),IF(MOD(A7,2),LOOKUP(E163,AK7:AO182),LOOKUP(E163,AU:AY)),IF(C27&gt;2,LOOKUP(E163,BE:BI),IF(C27=2,LOOKUP(E163,AU:AY),LOOKUP(E163,AK:AO))))</f>
        <v>1 Corinthians 7:32-40,</v>
      </c>
      <c r="J163" s="111" t="str">
        <f>IF(ISBLANK(BG7),IF(MOD(A7,2),LOOKUP(E163,AK7:AP182),LOOKUP(E163,AU:AZ)),IF(C27&gt;2,LOOKUP(E163,BE:BJ),IF(C27=2,LOOKUP(E163,AU:AZ),LOOKUP(E163,AK:AP))))</f>
        <v>1 Corinthians 8:1-13,</v>
      </c>
      <c r="K163" s="111" t="str">
        <f>IF(ISBLANK(BG7),IF(MOD(A7,2),LOOKUP(E163,AK7:AQ182),LOOKUP(E163,AU:BA)),IF(C27&gt;2,LOOKUP(E163,BE:BK),IF(C27=2,LOOKUP(E163,AU:BA),LOOKUP(E163,AK:AQ))))</f>
        <v>1 Corinthians 9:1-15,</v>
      </c>
      <c r="L163" s="111" t="str">
        <f>IF(ISBLANK(BG7),IF(MOD(A7,2),LOOKUP(E163,AK7:AR182),LOOKUP(E163,AU:BB)),IF(C27&gt;2,LOOKUP(E163,BE:BL),IF(C27=2,LOOKUP(E163,AU:BB),LOOKUP(E163,AK:AR))))</f>
        <v>1 Corinthians 9:16-27,</v>
      </c>
      <c r="M163" s="111" t="str">
        <f>IF(ISBLANK(BG7),IF(MOD(A7,2),LOOKUP(E163,AK7:AS182),LOOKUP(E163,AU:BC)),IF(C27&gt;2,LOOKUP(E163,BE:BM),IF(C27=2,LOOKUP(E163,AU:BC),LOOKUP(E163,AK:AS))))</f>
        <v>1 Corinthians 10:1-13,</v>
      </c>
      <c r="N163" s="251"/>
      <c r="O163" s="78"/>
      <c r="Z163" s="12"/>
      <c r="AK163" s="2">
        <v>156</v>
      </c>
      <c r="AL163" s="13" t="s">
        <v>2981</v>
      </c>
      <c r="AM163" s="64" t="s">
        <v>2380</v>
      </c>
      <c r="AN163" s="64" t="s">
        <v>1324</v>
      </c>
      <c r="AO163" s="63" t="s">
        <v>2982</v>
      </c>
      <c r="AP163" s="64" t="s">
        <v>2983</v>
      </c>
      <c r="AQ163" s="63" t="s">
        <v>1326</v>
      </c>
      <c r="AR163" s="64" t="s">
        <v>1327</v>
      </c>
      <c r="AS163" s="144" t="s">
        <v>1328</v>
      </c>
      <c r="AU163" s="2">
        <v>156</v>
      </c>
      <c r="AV163" s="13" t="s">
        <v>2981</v>
      </c>
      <c r="AW163" s="67" t="s">
        <v>2984</v>
      </c>
      <c r="AX163" s="66" t="s">
        <v>2437</v>
      </c>
      <c r="AY163" s="67" t="s">
        <v>2645</v>
      </c>
      <c r="AZ163" s="66" t="s">
        <v>2646</v>
      </c>
      <c r="BA163" s="67" t="s">
        <v>2647</v>
      </c>
      <c r="BB163" s="66" t="s">
        <v>2648</v>
      </c>
      <c r="BC163" s="67" t="s">
        <v>2649</v>
      </c>
      <c r="BE163" s="2">
        <v>156</v>
      </c>
      <c r="BF163" s="13" t="s">
        <v>2981</v>
      </c>
      <c r="BG163" s="68" t="s">
        <v>2985</v>
      </c>
      <c r="BH163" s="69" t="s">
        <v>2986</v>
      </c>
      <c r="BI163" s="68" t="s">
        <v>2987</v>
      </c>
      <c r="BJ163" s="69" t="s">
        <v>2988</v>
      </c>
      <c r="BK163" s="69" t="s">
        <v>2989</v>
      </c>
      <c r="BL163" s="69" t="s">
        <v>2990</v>
      </c>
      <c r="BM163" s="69" t="s">
        <v>2991</v>
      </c>
    </row>
    <row r="164" spans="2:65" ht="12.75">
      <c r="B164" s="4"/>
      <c r="C164" s="4"/>
      <c r="D164" s="138"/>
      <c r="E164" s="73">
        <v>154</v>
      </c>
      <c r="F164" s="250"/>
      <c r="G164" s="199" t="str">
        <f>IF(ISBLANK(BG7),IF(MOD(A7,2),LOOKUP(E164,AK7:AM182),LOOKUP(E164,AU:AW)),IF(C27&gt;2,LOOKUP(E164,BE:BG),IF(C27=2,LOOKUP(E164,AU:AW),LOOKUP(E164,AK:AM))))</f>
        <v>Luke 5:1-11</v>
      </c>
      <c r="H164" s="260" t="str">
        <f>IF(ISBLANK(BG7),IF(MOD(A7,2),LOOKUP(E164,AK7:AN182),LOOKUP(E164,AU:AX)),IF(C27&gt;2,LOOKUP(E164,BE:BH),IF(C27=2,LOOKUP(E164,AU:AX),LOOKUP(E164,AK:AN))))</f>
        <v>Matthew 6:25-34</v>
      </c>
      <c r="I164" s="260" t="str">
        <f>IF(ISBLANK(BG7),IF(MOD(A7,2),LOOKUP(E164,AK7:AO182),LOOKUP(E164,AU:AY)),IF(C27&gt;2,LOOKUP(E164,BE:BI),IF(C27=2,LOOKUP(E164,AU:AY),LOOKUP(E164,AK:AO))))</f>
        <v>Matthew 7:1-12</v>
      </c>
      <c r="J164" s="260" t="str">
        <f>IF(ISBLANK(BG7),IF(MOD(A7,2),LOOKUP(E164,AK7:AP182),LOOKUP(E164,AU:AZ)),IF(C27&gt;2,LOOKUP(E164,BE:BJ),IF(C27=2,LOOKUP(E164,AU:AZ),LOOKUP(E164,AK:AP))))</f>
        <v>Matthew 7:13-21</v>
      </c>
      <c r="K164" s="260" t="str">
        <f>IF(ISBLANK(BG7),IF(MOD(A7,2),LOOKUP(E164,AK7:AQ182),LOOKUP(E164,AU:BA)),IF(C27&gt;2,LOOKUP(E164,BE:BK),IF(C27=2,LOOKUP(E164,AU:BA),LOOKUP(E164,AK:AQ))))</f>
        <v>Matthew 7:22-29</v>
      </c>
      <c r="L164" s="260" t="str">
        <f>IF(ISBLANK(BG7),IF(MOD(A7,2),LOOKUP(E164,AK7:AR182),LOOKUP(E164,AU:BB)),IF(C27&gt;2,LOOKUP(E164,BE:BL),IF(C27=2,LOOKUP(E164,AU:BB),LOOKUP(E164,AK:AR))))</f>
        <v>Matthew 8:1-17</v>
      </c>
      <c r="M164" s="260" t="str">
        <f>IF(ISBLANK(BG7),IF(MOD(A7,2),LOOKUP(E164,AK7:AS182),LOOKUP(E164,AU:BC)),IF(C27&gt;2,LOOKUP(E164,BE:BM),IF(C27=2,LOOKUP(E164,AU:BC),LOOKUP(E164,AK:AS))))</f>
        <v>Matthew 8:18-27</v>
      </c>
      <c r="N164" s="251"/>
      <c r="O164" s="99"/>
      <c r="Z164" s="12"/>
      <c r="AK164" s="2">
        <v>157</v>
      </c>
      <c r="AL164" s="13" t="s">
        <v>2992</v>
      </c>
      <c r="AM164" s="102" t="s">
        <v>2993</v>
      </c>
      <c r="AN164" s="102" t="s">
        <v>1871</v>
      </c>
      <c r="AO164" s="101" t="s">
        <v>1872</v>
      </c>
      <c r="AP164" s="102" t="s">
        <v>1873</v>
      </c>
      <c r="AQ164" s="101" t="s">
        <v>1874</v>
      </c>
      <c r="AR164" s="102" t="s">
        <v>1917</v>
      </c>
      <c r="AS164" s="249" t="s">
        <v>2994</v>
      </c>
      <c r="AU164" s="2">
        <v>157</v>
      </c>
      <c r="AV164" s="13" t="s">
        <v>2992</v>
      </c>
      <c r="AW164" s="67" t="s">
        <v>2069</v>
      </c>
      <c r="AX164" s="66" t="s">
        <v>1700</v>
      </c>
      <c r="AY164" s="67" t="s">
        <v>1701</v>
      </c>
      <c r="AZ164" s="66" t="s">
        <v>2995</v>
      </c>
      <c r="BA164" s="67" t="s">
        <v>1756</v>
      </c>
      <c r="BB164" s="66" t="s">
        <v>1757</v>
      </c>
      <c r="BC164" s="67" t="s">
        <v>1758</v>
      </c>
      <c r="BE164" s="2">
        <v>157</v>
      </c>
      <c r="BF164" s="13" t="s">
        <v>2992</v>
      </c>
      <c r="BG164" s="68" t="s">
        <v>2996</v>
      </c>
      <c r="BH164" s="69" t="s">
        <v>2997</v>
      </c>
      <c r="BI164" s="68" t="s">
        <v>2998</v>
      </c>
      <c r="BJ164" s="69" t="s">
        <v>2999</v>
      </c>
      <c r="BK164" s="69" t="s">
        <v>3000</v>
      </c>
      <c r="BL164" s="69" t="s">
        <v>3001</v>
      </c>
      <c r="BM164" s="69" t="s">
        <v>3002</v>
      </c>
    </row>
    <row r="165" spans="2:65" ht="12.75">
      <c r="B165" s="4"/>
      <c r="C165" s="4"/>
      <c r="D165" s="254">
        <f>B19+147</f>
        <v>41560</v>
      </c>
      <c r="E165" s="261">
        <v>155</v>
      </c>
      <c r="F165" s="262" t="s">
        <v>3003</v>
      </c>
      <c r="G165" s="107" t="str">
        <f>IF(ISBLANK(BG7),IF(MOD(A7,2),LOOKUP(E165,AK7:AM182),LOOKUP(E165,AU:AW)),IF(C27&gt;2,LOOKUP(E165,BE:BG),IF(C27=2,LOOKUP(E165,AU:AW),LOOKUP(E165,AK:AM))))</f>
        <v>2 Kings 20:1-21,</v>
      </c>
      <c r="H165" s="264" t="str">
        <f>IF(ISBLANK(BG7),IF(MOD(A7,2),LOOKUP(E165,AK7:AN182),LOOKUP(E165,AU:AX)),IF(C27&gt;2,LOOKUP(E165,BE:BH),IF(C27=2,LOOKUP(E165,AU:AX),LOOKUP(E165,AK:AN))))</f>
        <v>2 Kings 21:1-18,</v>
      </c>
      <c r="I165" s="264" t="str">
        <f>IF(ISBLANK(BG7),IF(MOD(A7,2),LOOKUP(E165,AK7:AO182),LOOKUP(E165,AU:AY)),IF(C27&gt;2,LOOKUP(E165,BE:BI),IF(C27=2,LOOKUP(E165,AU:AY),LOOKUP(E165,AK:AO))))</f>
        <v>2 Kings 22:1-13,</v>
      </c>
      <c r="J165" s="264" t="str">
        <f>IF(ISBLANK(BG7),IF(MOD(A7,2),LOOKUP(E165,AK7:AP182),LOOKUP(E165,AU:AZ)),IF(C27&gt;2,LOOKUP(E165,BE:BJ),IF(C27=2,LOOKUP(E165,AU:AZ),LOOKUP(E165,AK:AP))))</f>
        <v>2 Kings 22:14-23:3,</v>
      </c>
      <c r="K165" s="264" t="str">
        <f>IF(ISBLANK(BG7),IF(MOD(A7,2),LOOKUP(E165,AK7:AQ182),LOOKUP(E165,AU:BA)),IF(C27&gt;2,LOOKUP(E165,BE:BK),IF(C27=2,LOOKUP(E165,AU:BA),LOOKUP(E165,AK:AQ))))</f>
        <v>2 Kings 23:4-25,</v>
      </c>
      <c r="L165" s="264" t="str">
        <f>IF(ISBLANK(BG7),IF(MOD(A7,2),LOOKUP(E165,AK7:AR182),LOOKUP(E165,AU:BB)),IF(C27&gt;2,LOOKUP(E165,BE:BL),IF(C27=2,LOOKUP(E165,AU:BB),LOOKUP(E165,AK:AR))))</f>
        <v>2 Kings 23:36-24:17,</v>
      </c>
      <c r="M165" s="264" t="str">
        <f>IF(ISBLANK(BG7),IF(MOD(A7,2),LOOKUP(E165,AK7:AS182),LOOKUP(E165,AU:BC)),IF(C27&gt;2,LOOKUP(E165,BE:BM),IF(C27=2,LOOKUP(E165,AU:BC),LOOKUP(E165,AK:AS))))</f>
        <v>Jeremiah 35:1-19,</v>
      </c>
      <c r="N165" s="265" t="s">
        <v>3003</v>
      </c>
      <c r="O165" s="109">
        <f>D165</f>
        <v>41560</v>
      </c>
      <c r="Z165" s="12"/>
      <c r="AK165" s="2">
        <v>158</v>
      </c>
      <c r="AL165" s="245" t="s">
        <v>3004</v>
      </c>
      <c r="AM165" s="64" t="s">
        <v>3005</v>
      </c>
      <c r="AN165" s="64" t="s">
        <v>3006</v>
      </c>
      <c r="AO165" s="63" t="s">
        <v>3007</v>
      </c>
      <c r="AP165" s="64" t="s">
        <v>3008</v>
      </c>
      <c r="AQ165" s="89" t="s">
        <v>3009</v>
      </c>
      <c r="AR165" s="64" t="s">
        <v>3010</v>
      </c>
      <c r="AS165" s="144" t="s">
        <v>3011</v>
      </c>
      <c r="AU165" s="2">
        <v>158</v>
      </c>
      <c r="AV165" s="245" t="s">
        <v>3004</v>
      </c>
      <c r="AW165" s="91" t="s">
        <v>3012</v>
      </c>
      <c r="AX165" s="90" t="s">
        <v>3013</v>
      </c>
      <c r="AY165" s="91" t="s">
        <v>3014</v>
      </c>
      <c r="AZ165" s="90" t="s">
        <v>3015</v>
      </c>
      <c r="BA165" s="91" t="s">
        <v>3016</v>
      </c>
      <c r="BB165" s="90" t="s">
        <v>3017</v>
      </c>
      <c r="BC165" s="91" t="s">
        <v>3018</v>
      </c>
      <c r="BE165" s="2">
        <v>158</v>
      </c>
      <c r="BF165" s="245" t="s">
        <v>3004</v>
      </c>
      <c r="BG165" s="68" t="s">
        <v>3019</v>
      </c>
      <c r="BH165" s="69" t="s">
        <v>3020</v>
      </c>
      <c r="BI165" s="68" t="s">
        <v>3021</v>
      </c>
      <c r="BJ165" s="69" t="s">
        <v>3022</v>
      </c>
      <c r="BK165" s="69" t="s">
        <v>3023</v>
      </c>
      <c r="BL165" s="69" t="s">
        <v>3024</v>
      </c>
      <c r="BM165" s="69" t="s">
        <v>3025</v>
      </c>
    </row>
    <row r="166" spans="2:65" ht="12.75">
      <c r="B166" s="4"/>
      <c r="C166" s="279"/>
      <c r="D166" s="138"/>
      <c r="E166" s="73">
        <v>156</v>
      </c>
      <c r="F166" s="250"/>
      <c r="G166" s="255" t="str">
        <f>IF(ISBLANK(BG7),IF(MOD(A7,2),LOOKUP(E166,AK7:AM182),LOOKUP(E166,AU:AW)),IF(C27&gt;2,LOOKUP(E166,BE:BG),IF(C27=2,LOOKUP(E166,AU:AW),LOOKUP(E166,AK:AM))))</f>
        <v>Acts 12:1-17,</v>
      </c>
      <c r="H166" s="111" t="str">
        <f>IF(ISBLANK(BG7),IF(MOD(A7,2),LOOKUP(E166,AK7:AN182),LOOKUP(E166,AU:AX)),IF(C27&gt;2,LOOKUP(E166,BE:BH),IF(C27=2,LOOKUP(E166,AU:AX),LOOKUP(E166,AK:AN))))</f>
        <v>1 Corinthians 10:14-11:1,</v>
      </c>
      <c r="I166" s="111" t="str">
        <f>IF(ISBLANK(BG7),IF(MOD(A7,2),LOOKUP(E166,AK7:AO182),LOOKUP(E166,AU:AY)),IF(C27&gt;2,LOOKUP(E166,BE:BI),IF(C27=2,LOOKUP(E166,AU:AY),LOOKUP(E166,AK:AO))))</f>
        <v>1 Corinthians 11:2 (3-16) 17-22,</v>
      </c>
      <c r="J166" s="111" t="str">
        <f>IF(ISBLANK(BG7),IF(MOD(A7,2),LOOKUP(E166,AK7:AP182),LOOKUP(E166,AU:AZ)),IF(C27&gt;2,LOOKUP(E166,BE:BJ),IF(C27=2,LOOKUP(E166,AU:AZ),LOOKUP(E166,AK:AP))))</f>
        <v>1 Corinthians 11:23-34,</v>
      </c>
      <c r="K166" s="111" t="str">
        <f>IF(ISBLANK(BG7),IF(MOD(A7,2),LOOKUP(E166,AK7:AQ182),LOOKUP(E166,AU:BA)),IF(C27&gt;2,LOOKUP(E166,BE:BK),IF(C27=2,LOOKUP(E166,AU:BA),LOOKUP(E166,AK:AQ))))</f>
        <v>1 Corinthians 12:1-11,</v>
      </c>
      <c r="L166" s="111" t="str">
        <f>IF(ISBLANK(BG7),IF(MOD(A7,2),LOOKUP(E166,AK7:AR182),LOOKUP(E166,AU:BB)),IF(C27&gt;2,LOOKUP(E166,BE:BL),IF(C27=2,LOOKUP(E166,AU:BB),LOOKUP(E166,AK:AR))))</f>
        <v>1 Corinthians 12:12-26,</v>
      </c>
      <c r="M166" s="111" t="str">
        <f>IF(ISBLANK(BG7),IF(MOD(A7,2),LOOKUP(E166,AK7:AS182),LOOKUP(E166,AU:BC)),IF(C27&gt;2,LOOKUP(E166,BE:BM),IF(C27=2,LOOKUP(E166,AU:BC),LOOKUP(E166,AK:AS))))</f>
        <v>1 Corinthians 12:27-13:3,</v>
      </c>
      <c r="N166" s="251"/>
      <c r="O166" s="78"/>
      <c r="Z166" s="12"/>
      <c r="AK166" s="2">
        <v>159</v>
      </c>
      <c r="AL166" s="13" t="s">
        <v>3026</v>
      </c>
      <c r="AM166" s="64" t="s">
        <v>3027</v>
      </c>
      <c r="AN166" s="64" t="s">
        <v>3028</v>
      </c>
      <c r="AO166" s="63" t="s">
        <v>3029</v>
      </c>
      <c r="AP166" s="64" t="s">
        <v>3030</v>
      </c>
      <c r="AQ166" s="63" t="s">
        <v>3031</v>
      </c>
      <c r="AR166" s="64" t="s">
        <v>1507</v>
      </c>
      <c r="AS166" s="144" t="s">
        <v>3032</v>
      </c>
      <c r="AU166" s="2">
        <v>159</v>
      </c>
      <c r="AV166" s="13" t="s">
        <v>3026</v>
      </c>
      <c r="AW166" s="67" t="s">
        <v>3033</v>
      </c>
      <c r="AX166" s="66" t="s">
        <v>2695</v>
      </c>
      <c r="AY166" s="67" t="s">
        <v>2696</v>
      </c>
      <c r="AZ166" s="66" t="s">
        <v>3034</v>
      </c>
      <c r="BA166" s="67" t="s">
        <v>2698</v>
      </c>
      <c r="BB166" s="66" t="s">
        <v>2699</v>
      </c>
      <c r="BC166" s="67" t="s">
        <v>2700</v>
      </c>
      <c r="BE166" s="2">
        <v>159</v>
      </c>
      <c r="BF166" s="13" t="s">
        <v>3026</v>
      </c>
      <c r="BG166" s="68" t="s">
        <v>3035</v>
      </c>
      <c r="BH166" s="69" t="s">
        <v>3036</v>
      </c>
      <c r="BI166" s="68" t="s">
        <v>3037</v>
      </c>
      <c r="BJ166" s="69" t="s">
        <v>3038</v>
      </c>
      <c r="BK166" s="69" t="s">
        <v>3039</v>
      </c>
      <c r="BL166" s="69" t="s">
        <v>3040</v>
      </c>
      <c r="BM166" s="69" t="s">
        <v>3041</v>
      </c>
    </row>
    <row r="167" spans="2:65" ht="12.75">
      <c r="B167" s="4"/>
      <c r="C167" s="4"/>
      <c r="D167" s="256"/>
      <c r="E167" s="266">
        <v>157</v>
      </c>
      <c r="F167" s="258"/>
      <c r="G167" s="199" t="str">
        <f>IF(ISBLANK(BG7),IF(MOD(A7,2),LOOKUP(E167,AK7:AM182),LOOKUP(E167,AU:AW)),IF(C27&gt;2,LOOKUP(E167,BE:BG),IF(C27=2,LOOKUP(E167,AU:AW),LOOKUP(E167,AK:AM))))</f>
        <v>Luke 7:11-17</v>
      </c>
      <c r="H167" s="260" t="str">
        <f>IF(ISBLANK(BG7),IF(MOD(A7,2),LOOKUP(E167,AK7:AN182),LOOKUP(E167,AU:AX)),IF(C27&gt;2,LOOKUP(E167,BE:BH),IF(C27=2,LOOKUP(E167,AU:AX),LOOKUP(E167,AK:AN))))</f>
        <v>Matthew 8:28-34</v>
      </c>
      <c r="I167" s="260" t="str">
        <f>IF(ISBLANK(BG7),IF(MOD(A7,2),LOOKUP(E167,AK7:AO182),LOOKUP(E167,AU:AY)),IF(C27&gt;2,LOOKUP(E167,BE:BI),IF(C27=2,LOOKUP(E167,AU:AY),LOOKUP(E167,AK:AO))))</f>
        <v>Matthew 9:1-8</v>
      </c>
      <c r="J167" s="260" t="str">
        <f>IF(ISBLANK(BG7),IF(MOD(A7,2),LOOKUP(E167,AK7:AP182),LOOKUP(E167,AU:AZ)),IF(C27&gt;2,LOOKUP(E167,BE:BJ),IF(C27=2,LOOKUP(E167,AU:AZ),LOOKUP(E167,AK:AP))))</f>
        <v>Matthew 9:9-17</v>
      </c>
      <c r="K167" s="260" t="str">
        <f>IF(ISBLANK(BG7),IF(MOD(A7,2),LOOKUP(E167,AK7:AQ182),LOOKUP(E167,AU:BA)),IF(C27&gt;2,LOOKUP(E167,BE:BK),IF(C27=2,LOOKUP(E167,AU:BA),LOOKUP(E167,AK:AQ))))</f>
        <v>Matthew 9:18-26</v>
      </c>
      <c r="L167" s="260" t="str">
        <f>IF(ISBLANK(BG7),IF(MOD(A7,2),LOOKUP(E167,AK7:AR182),LOOKUP(E167,AU:BB)),IF(C27&gt;2,LOOKUP(E167,BE:BL),IF(C27=2,LOOKUP(E167,AU:BB),LOOKUP(E167,AK:AR))))</f>
        <v>Matthew 9:27-34</v>
      </c>
      <c r="M167" s="260" t="str">
        <f>IF(ISBLANK(BG7),IF(MOD(A7,2),LOOKUP(E167,AK7:AS182),LOOKUP(E167,AU:BC)),IF(C27&gt;2,LOOKUP(E167,BE:BM),IF(C27=2,LOOKUP(E167,AU:BC),LOOKUP(E167,AK:AS))))</f>
        <v>Matthew 9;35-10:4</v>
      </c>
      <c r="N167" s="267"/>
      <c r="O167" s="78"/>
      <c r="Z167" s="12"/>
      <c r="AK167" s="2">
        <v>160</v>
      </c>
      <c r="AL167" s="248" t="s">
        <v>3042</v>
      </c>
      <c r="AM167" s="64" t="s">
        <v>1756</v>
      </c>
      <c r="AN167" s="64" t="s">
        <v>1919</v>
      </c>
      <c r="AO167" s="63" t="s">
        <v>1920</v>
      </c>
      <c r="AP167" s="64" t="s">
        <v>3043</v>
      </c>
      <c r="AQ167" s="63" t="s">
        <v>1922</v>
      </c>
      <c r="AR167" s="64" t="s">
        <v>1963</v>
      </c>
      <c r="AS167" s="144" t="s">
        <v>1964</v>
      </c>
      <c r="AU167" s="2">
        <v>160</v>
      </c>
      <c r="AV167" s="248" t="s">
        <v>3042</v>
      </c>
      <c r="AW167" s="104" t="s">
        <v>2119</v>
      </c>
      <c r="AX167" s="103" t="s">
        <v>1759</v>
      </c>
      <c r="AY167" s="104" t="s">
        <v>1760</v>
      </c>
      <c r="AZ167" s="103" t="s">
        <v>1761</v>
      </c>
      <c r="BA167" s="104" t="s">
        <v>1115</v>
      </c>
      <c r="BB167" s="103" t="s">
        <v>1818</v>
      </c>
      <c r="BC167" s="104" t="s">
        <v>1819</v>
      </c>
      <c r="BE167" s="2">
        <v>160</v>
      </c>
      <c r="BF167" s="248" t="s">
        <v>3042</v>
      </c>
      <c r="BG167" s="68" t="s">
        <v>3044</v>
      </c>
      <c r="BH167" s="69" t="s">
        <v>3045</v>
      </c>
      <c r="BI167" s="68" t="s">
        <v>3046</v>
      </c>
      <c r="BJ167" s="69" t="s">
        <v>3047</v>
      </c>
      <c r="BK167" s="69" t="s">
        <v>3048</v>
      </c>
      <c r="BL167" s="69" t="s">
        <v>3049</v>
      </c>
      <c r="BM167" s="69" t="s">
        <v>3050</v>
      </c>
    </row>
    <row r="168" spans="2:65" ht="12.75">
      <c r="B168" s="4"/>
      <c r="C168" s="4"/>
      <c r="D168" s="302">
        <f>+B19+154</f>
        <v>41567</v>
      </c>
      <c r="E168" s="73">
        <v>158</v>
      </c>
      <c r="F168" s="250" t="s">
        <v>3051</v>
      </c>
      <c r="G168" s="107" t="str">
        <f>IF(ISBLANK(BG7),IF(MOD(A7,2),LOOKUP(E168,AK7:AM182),LOOKUP(E168,AU:AW)),IF(C27&gt;2,LOOKUP(E168,BE:BG),IF(C27=2,LOOKUP(E168,AU:AW),LOOKUP(E168,AK:AM))))</f>
        <v>Jeremiah 36:1-10,</v>
      </c>
      <c r="H168" s="264" t="str">
        <f>IF(ISBLANK(BG7),IF(MOD(A7,2),LOOKUP(E168,AK7:AN182),LOOKUP(E168,AU:AX)),IF(C27&gt;2,LOOKUP(E168,BE:BH),IF(C27=2,LOOKUP(E168,AU:AX),LOOKUP(E168,AK:AN))))</f>
        <v>Jeremiah 36:11-26,</v>
      </c>
      <c r="I168" s="264" t="str">
        <f>IF(ISBLANK(BG7),IF(MOD(A7,2),LOOKUP(E168,AK7:AO182),LOOKUP(E168,AU:AY)),IF(C27&gt;2,LOOKUP(E168,BE:BI),IF(C27=2,LOOKUP(E168,AU:AY),LOOKUP(E168,AK:AO))))</f>
        <v>Jeremiah 36:27-37:2,</v>
      </c>
      <c r="J168" s="264" t="str">
        <f>IF(ISBLANK(BG7),IF(MOD(A7,2),LOOKUP(E168,AK7:AP182),LOOKUP(E168,AU:AZ)),IF(C27&gt;2,LOOKUP(E168,BE:BJ),IF(C27=2,LOOKUP(E168,AU:AZ),LOOKUP(E168,AK:AP))))</f>
        <v>Jeremiah 37:3:21,</v>
      </c>
      <c r="K168" s="264" t="str">
        <f>IF(ISBLANK(BG7),IF(MOD(A7,2),LOOKUP(E168,AK7:AQ182),LOOKUP(E168,AU:BA)),IF(C27&gt;2,LOOKUP(E168,BE:BK),IF(C27=2,LOOKUP(E168,AU:BA),LOOKUP(E168,AK:AQ))))</f>
        <v>Jeremiah 38:1-13,</v>
      </c>
      <c r="L168" s="264" t="str">
        <f>IF(ISBLANK(BG7),IF(MOD(A7,2),LOOKUP(E168,AK7:AR182),LOOKUP(E168,AU:BB)),IF(C27&gt;2,LOOKUP(E168,BE:BL),IF(C27=2,LOOKUP(E168,AU:BB),LOOKUP(E168,AK:AR))))</f>
        <v>Jeremiah 38:14-28,</v>
      </c>
      <c r="M168" s="264" t="str">
        <f>IF(ISBLANK(BG7),IF(MOD(A7,2),LOOKUP(E168,AK7:AS182),LOOKUP(E168,AU:BC)),IF(C27&gt;2,LOOKUP(E168,BE:BM),IF(C27=2,LOOKUP(E168,AU:BC),LOOKUP(E168,AK:AS))))</f>
        <v>Jeremiah 52:1-34,</v>
      </c>
      <c r="N168" s="251" t="s">
        <v>3051</v>
      </c>
      <c r="O168" s="56">
        <f>D168</f>
        <v>41567</v>
      </c>
      <c r="Z168" s="12"/>
      <c r="AK168" s="2">
        <v>161</v>
      </c>
      <c r="AL168" s="13" t="s">
        <v>3052</v>
      </c>
      <c r="AM168" s="89" t="s">
        <v>3053</v>
      </c>
      <c r="AN168" s="89" t="s">
        <v>3054</v>
      </c>
      <c r="AO168" s="88" t="s">
        <v>3055</v>
      </c>
      <c r="AP168" s="89" t="s">
        <v>3056</v>
      </c>
      <c r="AQ168" s="88" t="s">
        <v>3057</v>
      </c>
      <c r="AR168" s="89" t="s">
        <v>3058</v>
      </c>
      <c r="AS168" s="242" t="s">
        <v>3059</v>
      </c>
      <c r="AU168" s="2">
        <v>161</v>
      </c>
      <c r="AV168" s="13" t="s">
        <v>3052</v>
      </c>
      <c r="AW168" s="67" t="s">
        <v>3060</v>
      </c>
      <c r="AX168" s="66" t="s">
        <v>3061</v>
      </c>
      <c r="AY168" s="67" t="s">
        <v>3062</v>
      </c>
      <c r="AZ168" s="66" t="s">
        <v>3063</v>
      </c>
      <c r="BA168" s="67" t="s">
        <v>3064</v>
      </c>
      <c r="BB168" s="66" t="s">
        <v>3065</v>
      </c>
      <c r="BC168" s="67" t="s">
        <v>3066</v>
      </c>
      <c r="BE168" s="2">
        <v>161</v>
      </c>
      <c r="BF168" s="13" t="s">
        <v>3052</v>
      </c>
      <c r="BG168" s="68" t="s">
        <v>3067</v>
      </c>
      <c r="BH168" s="69" t="s">
        <v>3068</v>
      </c>
      <c r="BI168" s="68" t="s">
        <v>3069</v>
      </c>
      <c r="BJ168" s="69" t="s">
        <v>3070</v>
      </c>
      <c r="BK168" s="69" t="s">
        <v>3071</v>
      </c>
      <c r="BL168" s="69" t="s">
        <v>3072</v>
      </c>
      <c r="BM168" s="69" t="s">
        <v>3073</v>
      </c>
    </row>
    <row r="169" spans="2:65" ht="12.75">
      <c r="B169" s="4"/>
      <c r="C169" s="279"/>
      <c r="D169" s="138"/>
      <c r="E169" s="73">
        <v>159</v>
      </c>
      <c r="F169" s="250"/>
      <c r="G169" s="255" t="str">
        <f>IF(ISBLANK(BG7),IF(MOD(A7,2),LOOKUP(E169,AK7:AM182),LOOKUP(E169,AU:AW)),IF(C27&gt;2,LOOKUP(E169,BE:BG),IF(C27=2,LOOKUP(E169,AU:AW),LOOKUP(E169,AK:AM))))</f>
        <v>Acts 14:8-18,</v>
      </c>
      <c r="H169" s="111" t="str">
        <f>IF(ISBLANK(BG7),IF(MOD(A7,2),LOOKUP(E169,AK7:AN182),LOOKUP(E169,AU:AX)),IF(C27&gt;2,LOOKUP(E169,BE:BH),IF(C27=2,LOOKUP(E169,AU:AX),LOOKUP(E169,AK:AN))))</f>
        <v>1 Corinthians 13:(1-3) 4-13,</v>
      </c>
      <c r="I169" s="111" t="str">
        <f>IF(ISBLANK(BG7),IF(MOD(A7,2),LOOKUP(E169,AK7:AO182),LOOKUP(E169,AU:AY)),IF(C27&gt;2,LOOKUP(E169,BE:BI),IF(C27=2,LOOKUP(E169,AU:AY),LOOKUP(E169,AK:AO))))</f>
        <v>1 Corinthians 14:1-12,</v>
      </c>
      <c r="J169" s="111" t="str">
        <f>IF(ISBLANK(BG7),IF(MOD(A7,2),LOOKUP(E169,AK7:AP182),LOOKUP(E169,AU:AZ)),IF(C27&gt;2,LOOKUP(E169,BE:BJ),IF(C27=2,LOOKUP(E169,AU:AZ),LOOKUP(E169,AK:AP))))</f>
        <v>1 Corinthians 14:13-25,</v>
      </c>
      <c r="K169" s="111" t="str">
        <f>IF(ISBLANK(BG7),IF(MOD(A7,2),LOOKUP(E169,AK7:AQ182),LOOKUP(E169,AU:BA)),IF(C27&gt;2,LOOKUP(E169,BE:BK),IF(C27=2,LOOKUP(E169,AU:BA),LOOKUP(E169,AK:AQ))))</f>
        <v>1 Corinthians 14:26-33a (33b-36) 37-40,</v>
      </c>
      <c r="L169" s="111" t="str">
        <f>IF(ISBLANK(BG7),IF(MOD(A7,2),LOOKUP(E169,AK7:AR182),LOOKUP(E169,AU:BB)),IF(C27&gt;2,LOOKUP(E169,BE:BL),IF(C27=2,LOOKUP(E169,AU:BB),LOOKUP(E169,AK:AR))))</f>
        <v>1 Corinthians 15:1-11,</v>
      </c>
      <c r="M169" s="111" t="str">
        <f>IF(ISBLANK(BG7),IF(MOD(A7,2),LOOKUP(E169,AK7:AS182),LOOKUP(E169,AU:BC)),IF(C27&gt;2,LOOKUP(E169,BE:BM),IF(C27=2,LOOKUP(E169,AU:BC),LOOKUP(E169,AK:AS))))</f>
        <v>1 Corinthians 15:12-29,</v>
      </c>
      <c r="N169" s="251"/>
      <c r="O169" s="78"/>
      <c r="Z169" s="12"/>
      <c r="AK169" s="2">
        <v>162</v>
      </c>
      <c r="AL169" s="13" t="s">
        <v>3074</v>
      </c>
      <c r="AM169" s="64" t="s">
        <v>2487</v>
      </c>
      <c r="AN169" s="64" t="s">
        <v>3075</v>
      </c>
      <c r="AO169" s="63" t="s">
        <v>1510</v>
      </c>
      <c r="AP169" s="64" t="s">
        <v>1511</v>
      </c>
      <c r="AQ169" s="63" t="s">
        <v>3076</v>
      </c>
      <c r="AR169" s="64" t="s">
        <v>3077</v>
      </c>
      <c r="AS169" s="144" t="s">
        <v>968</v>
      </c>
      <c r="AU169" s="2">
        <v>162</v>
      </c>
      <c r="AV169" s="13" t="s">
        <v>3074</v>
      </c>
      <c r="AW169" s="67" t="s">
        <v>1276</v>
      </c>
      <c r="AX169" s="66" t="s">
        <v>3078</v>
      </c>
      <c r="AY169" s="67" t="s">
        <v>3079</v>
      </c>
      <c r="AZ169" s="66" t="s">
        <v>3080</v>
      </c>
      <c r="BA169" s="67" t="s">
        <v>3081</v>
      </c>
      <c r="BB169" s="66" t="s">
        <v>3082</v>
      </c>
      <c r="BC169" s="67" t="s">
        <v>2044</v>
      </c>
      <c r="BE169" s="2">
        <v>162</v>
      </c>
      <c r="BF169" s="13" t="s">
        <v>3074</v>
      </c>
      <c r="BG169" s="68" t="s">
        <v>3083</v>
      </c>
      <c r="BH169" s="69" t="s">
        <v>3084</v>
      </c>
      <c r="BI169" s="68" t="s">
        <v>3085</v>
      </c>
      <c r="BJ169" s="69" t="s">
        <v>3086</v>
      </c>
      <c r="BK169" s="69" t="s">
        <v>3087</v>
      </c>
      <c r="BL169" s="69" t="s">
        <v>3088</v>
      </c>
      <c r="BM169" s="69" t="s">
        <v>3089</v>
      </c>
    </row>
    <row r="170" spans="2:65" ht="12.75">
      <c r="B170" s="4"/>
      <c r="C170" s="4"/>
      <c r="D170" s="138"/>
      <c r="E170" s="73">
        <v>160</v>
      </c>
      <c r="F170" s="250"/>
      <c r="G170" s="259" t="str">
        <f>IF(ISBLANK(BG7),IF(MOD(A7,2),LOOKUP(E170,AK7:AM182),LOOKUP(E170,AU:AW)),IF(C27&gt;2,LOOKUP(E170,BE:BG),IF(C27=2,LOOKUP(E170,AU:AW),LOOKUP(E170,AK:AM))))</f>
        <v>Luke 7:36-50</v>
      </c>
      <c r="H170" s="260" t="str">
        <f>IF(ISBLANK(BG7),IF(MOD(A7,2),LOOKUP(E170,AK7:AN182),LOOKUP(E170,AU:AX)),IF(C27&gt;2,LOOKUP(E170,BE:BH),IF(C27=2,LOOKUP(E170,AU:AX),LOOKUP(E170,AK:AN))))</f>
        <v>Matthew 10:5-15</v>
      </c>
      <c r="I170" s="260" t="str">
        <f>IF(ISBLANK(BG7),IF(MOD(A7,2),LOOKUP(E170,AK7:AO182),LOOKUP(E170,AU:AY)),IF(C27&gt;2,LOOKUP(E170,BE:BI),IF(C27=2,LOOKUP(E170,AU:AY),LOOKUP(E170,AK:AO))))</f>
        <v>Matthew 10:16-23</v>
      </c>
      <c r="J170" s="260" t="str">
        <f>IF(ISBLANK(BG7),IF(MOD(A7,2),LOOKUP(E170,AK7:AP182),LOOKUP(E170,AU:AZ)),IF(C27&gt;2,LOOKUP(E170,BE:BJ),IF(C27=2,LOOKUP(E170,AU:AZ),LOOKUP(E170,AK:AP))))</f>
        <v>Matthew 10:24-33</v>
      </c>
      <c r="K170" s="260" t="str">
        <f>IF(ISBLANK(BG7),IF(MOD(A7,2),LOOKUP(E170,AK7:AQ182),LOOKUP(E170,AU:BA)),IF(C27&gt;2,LOOKUP(E170,BE:BK),IF(C27=2,LOOKUP(E170,AU:BA),LOOKUP(E170,AK:AQ))))</f>
        <v>Matthew 10:34-42</v>
      </c>
      <c r="L170" s="260" t="str">
        <f>IF(ISBLANK(BG7),IF(MOD(A7,2),LOOKUP(E170,AK7:AR182),LOOKUP(E170,AU:BB)),IF(C27&gt;2,LOOKUP(E170,BE:BL),IF(C27=2,LOOKUP(E170,AU:BB),LOOKUP(E170,AK:AR))))</f>
        <v>Matthew 11:1-6</v>
      </c>
      <c r="M170" s="260" t="str">
        <f>IF(ISBLANK(BG7),IF(MOD(A7,2),LOOKUP(E170,AK7:AS182),LOOKUP(E170,AU:BC)),IF(C27&gt;2,LOOKUP(E170,BE:BM),IF(C27=2,LOOKUP(E170,AU:BC),LOOKUP(E170,AK:AS))))</f>
        <v>Matthew 11:7-15</v>
      </c>
      <c r="N170" s="251"/>
      <c r="O170" s="99"/>
      <c r="Z170" s="12"/>
      <c r="AK170" s="2">
        <v>163</v>
      </c>
      <c r="AL170" s="13" t="s">
        <v>3090</v>
      </c>
      <c r="AM170" s="102" t="s">
        <v>3091</v>
      </c>
      <c r="AN170" s="102" t="s">
        <v>1965</v>
      </c>
      <c r="AO170" s="101" t="s">
        <v>1966</v>
      </c>
      <c r="AP170" s="102" t="s">
        <v>1967</v>
      </c>
      <c r="AQ170" s="101" t="s">
        <v>1968</v>
      </c>
      <c r="AR170" s="102" t="s">
        <v>2007</v>
      </c>
      <c r="AS170" s="249" t="s">
        <v>2008</v>
      </c>
      <c r="AU170" s="2">
        <v>163</v>
      </c>
      <c r="AV170" s="13" t="s">
        <v>3090</v>
      </c>
      <c r="AW170" s="67" t="s">
        <v>2121</v>
      </c>
      <c r="AX170" s="66" t="s">
        <v>1863</v>
      </c>
      <c r="AY170" s="67" t="s">
        <v>3092</v>
      </c>
      <c r="AZ170" s="66" t="s">
        <v>1865</v>
      </c>
      <c r="BA170" s="67" t="s">
        <v>1866</v>
      </c>
      <c r="BB170" s="66" t="s">
        <v>1867</v>
      </c>
      <c r="BC170" s="67" t="s">
        <v>1816</v>
      </c>
      <c r="BE170" s="2">
        <v>163</v>
      </c>
      <c r="BF170" s="13" t="s">
        <v>3090</v>
      </c>
      <c r="BG170" s="68" t="s">
        <v>3093</v>
      </c>
      <c r="BH170" s="69" t="s">
        <v>3094</v>
      </c>
      <c r="BI170" s="68" t="s">
        <v>3095</v>
      </c>
      <c r="BJ170" s="69" t="s">
        <v>3096</v>
      </c>
      <c r="BK170" s="69" t="s">
        <v>3097</v>
      </c>
      <c r="BL170" s="69" t="s">
        <v>3098</v>
      </c>
      <c r="BM170" s="69" t="s">
        <v>3099</v>
      </c>
    </row>
    <row r="171" spans="2:65" ht="12.75">
      <c r="B171" s="4"/>
      <c r="C171" s="4"/>
      <c r="D171" s="48">
        <f>IF(B20&gt;22,B19+161,"OMIT")</f>
        <v>41574</v>
      </c>
      <c r="E171" s="261">
        <v>161</v>
      </c>
      <c r="F171" s="262" t="s">
        <v>3100</v>
      </c>
      <c r="G171" s="303" t="str">
        <f>IF(ISNUMBER(D171),IF(ISBLANK(BG7),IF(MOD(A7,2),LOOKUP(E171,AK:AM),LOOKUP(E171,AU:AW)),IF(C27&gt;2,LOOKUP(E171,BE:BG),IF(C27=2,LOOKUP(E171,AU:AW),LOOKUP(E171,AK:AM)))),AI36)</f>
        <v>Jeremiah 29:1, 4-14 or 39:11-40:6,</v>
      </c>
      <c r="H171" s="264" t="str">
        <f>IF(ISNUMBER(D171),IF(ISBLANK(BG7),IF(MOD(A7,2),LOOKUP(E171,AK:AN),LOOKUP(E171,AU:AX)),IF(C27&gt;2,LOOKUP(E171,BE:BH),IF(C27=2,LOOKUP(E171,AU:AX),LOOKUP(E171,AK:AN)))),AI36)</f>
        <v>Jeremiah 44:1-14 or 29:1, 4-14,</v>
      </c>
      <c r="I171" s="264" t="str">
        <f>IF(ISNUMBER(D171),IF(ISBLANK(BG7),IF(MOD(A7,2),LOOKUP(E171,AK:AO),LOOKUP(E171,AU:AY)),IF(C27&gt;2,LOOKUP(E171,BE:BI),IF(C27=2,LOOKUP(E171,AU:AY),LOOKUP(E171,AK:AO)))),AI36)</f>
        <v>Lam. 1:1-12 or Jer.40:7-41:3,</v>
      </c>
      <c r="J171" s="264" t="str">
        <f>IF(ISNUMBER(D171),IF(ISBLANK(BG7),IF(MOD(A7,2),LOOKUP(E171,AK:AP),LOOKUP(E171,AU:AZ)),IF(C27&gt;2,LOOKUP(E171,BE:BJ),IF(C27=2,LOOKUP(E171,AU:AZ),LOOKUP(E171,AK:AP)))),AI36)</f>
        <v>Lam. 2:8-15 or Jer.41:4-18,</v>
      </c>
      <c r="K171" s="264" t="str">
        <f>IF(ISNUMBER(D171),IF(ISBLANK(BG7),IF(MOD(A7,2),LOOKUP(E171,AK:AQ),LOOKUP(E171,AU:BA)),IF(C27&gt;2,LOOKUP(E171,BE:BK),IF(C27=2,LOOKUP(E171,AU:BA),LOOKUP(E171,AK:AQ)))),AI36)</f>
        <v>Ezra 1:1-11 or Jer 42:1-22,</v>
      </c>
      <c r="L171" s="264" t="str">
        <f>IF(ISNUMBER(D171),IF(ISBLANK(BG7),IF(MOD(A7,2),LOOKUP(E171,AK:AR),LOOKUP(E171,AU:BB)),IF(C27&gt;2,LOOKUP(E171,BE:BL),IF(C27=2,LOOKUP(E171,AU:BB),LOOKUP(E171,AK:AR)))),AI36)</f>
        <v>Ezra 3:1-13 or Jer. 43:1-13,</v>
      </c>
      <c r="M171" s="264" t="str">
        <f>IF(ISNUMBER(D171),IF(ISBLANK(BG7),IF(MOD(A7,2),LOOKUP(E171,AK:AS),LOOKUP(E171,AU:BC)),IF(C27&gt;2,LOOKUP(E171,BE:BM),IF(C27=2,LOOKUP(E171,AU:BC),LOOKUP(E171,AK:AS)))),AI36)</f>
        <v>Ezra 4:7, 11-24 or Jer 44:1-14,</v>
      </c>
      <c r="N171" s="265" t="s">
        <v>3100</v>
      </c>
      <c r="O171" s="109">
        <f>D171</f>
        <v>41574</v>
      </c>
      <c r="Z171" s="12"/>
      <c r="AK171" s="2">
        <v>164</v>
      </c>
      <c r="AL171" s="245" t="s">
        <v>3101</v>
      </c>
      <c r="AM171" s="64" t="s">
        <v>3102</v>
      </c>
      <c r="AN171" s="64" t="s">
        <v>3103</v>
      </c>
      <c r="AO171" s="63" t="s">
        <v>3104</v>
      </c>
      <c r="AP171" s="64" t="s">
        <v>3105</v>
      </c>
      <c r="AQ171" s="63" t="s">
        <v>3106</v>
      </c>
      <c r="AR171" s="64" t="s">
        <v>3107</v>
      </c>
      <c r="AS171" s="144" t="s">
        <v>3108</v>
      </c>
      <c r="AU171" s="2">
        <v>164</v>
      </c>
      <c r="AV171" s="245" t="s">
        <v>3101</v>
      </c>
      <c r="AW171" s="91" t="s">
        <v>3109</v>
      </c>
      <c r="AX171" s="90" t="s">
        <v>3110</v>
      </c>
      <c r="AY171" s="91" t="s">
        <v>1074</v>
      </c>
      <c r="AZ171" s="90" t="s">
        <v>3111</v>
      </c>
      <c r="BA171" s="91" t="s">
        <v>3112</v>
      </c>
      <c r="BB171" s="90" t="s">
        <v>3113</v>
      </c>
      <c r="BC171" s="91" t="s">
        <v>3114</v>
      </c>
      <c r="BE171" s="2">
        <v>164</v>
      </c>
      <c r="BF171" s="245" t="s">
        <v>3101</v>
      </c>
      <c r="BG171" s="68" t="s">
        <v>3115</v>
      </c>
      <c r="BH171" s="69" t="s">
        <v>3116</v>
      </c>
      <c r="BI171" s="68" t="s">
        <v>3117</v>
      </c>
      <c r="BJ171" s="69" t="s">
        <v>3118</v>
      </c>
      <c r="BK171" s="69" t="s">
        <v>3119</v>
      </c>
      <c r="BL171" s="69" t="s">
        <v>3120</v>
      </c>
      <c r="BM171" s="69" t="s">
        <v>3121</v>
      </c>
    </row>
    <row r="172" spans="3:65" ht="12.75" customHeight="1">
      <c r="C172" s="279"/>
      <c r="D172" s="138"/>
      <c r="E172" s="73">
        <v>162</v>
      </c>
      <c r="F172" s="250"/>
      <c r="G172" s="304" t="str">
        <f>IF(ISNUMBER(D171),IF(ISBLANK(BG7),IF(MOD(A7,2),LOOKUP(E172,AK:AM),LOOKUP(E172,AU:AW)),IF(C27&gt;2,LOOKUP(E172,BE:BG),IF(C27=2,LOOKUP(E172,AU:AW),LOOKUP(E172,AK:AM)))),AI36)</f>
        <v>Acts 16:6-15,</v>
      </c>
      <c r="H172" s="111" t="str">
        <f>IF(ISNUMBER(D171),IF(ISBLANK(BG7),IF(MOD(A7,2),LOOKUP(E172,AK:AN),LOOKUP(E172,AU:AX)),IF(C27&gt;2,LOOKUP(E172,BE:BH),IF(C27=2,LOOKUP(E172,AU:AX),LOOKUP(E172,AK:AN)))),AI36)</f>
        <v>1 Corinthians 15:30-41,</v>
      </c>
      <c r="I172" s="111" t="str">
        <f>IF(ISNUMBER(D171),IF(ISBLANK(BG7),IF(MOD(A7,2),LOOKUP(E172,AK:AO),LOOKUP(E172,AU:AY)),IF(C27&gt;2,LOOKUP(E172,BE:BI),IF(C27=2,LOOKUP(E172,AU:AY),LOOKUP(E172,AK:AO)))),AI36)</f>
        <v>1 Corinthians 15:41-50,</v>
      </c>
      <c r="J172" s="111" t="str">
        <f>IF(ISNUMBER(D171),IF(ISBLANK(BG7),IF(MOD(A7,2),LOOKUP(E172,AK:AP),LOOKUP(E172,AU:AZ)),IF(C27&gt;2,LOOKUP(E172,BE:BJ),IF(C27=2,LOOKUP(E172,AU:AZ),LOOKUP(E172,AK:AP)))),AI36)</f>
        <v>1 Corinthians 15:51-58,</v>
      </c>
      <c r="K172" s="111" t="str">
        <f>IF(ISNUMBER(D171),IF(ISBLANK(BG7),IF(MOD(A7,2),LOOKUP(E172,AK:AQ),LOOKUP(E172,AU:BA)),IF(C27&gt;2,LOOKUP(E172,BE:BK),IF(C27=2,LOOKUP(E172,AU:BA),LOOKUP(E172,AK:AQ)))),AI36)</f>
        <v>1 Corinthians 16:1-9,</v>
      </c>
      <c r="L172" s="111" t="str">
        <f>IF(ISNUMBER(D171),IF(ISBLANK(BG7),IF(MOD(A7,2),LOOKUP(E172,AK:AR),LOOKUP(E172,AU:BB)),IF(C27&gt;2,LOOKUP(E172,BE:BL),IF(C27=2,LOOKUP(E172,AU:BB),LOOKUP(E172,AK:AR)))),AI36)</f>
        <v>1 Corinthians 16:10-24,</v>
      </c>
      <c r="M172" s="111" t="str">
        <f>IF(ISNUMBER(D171),IF(ISBLANK(BG7),IF(MOD(A7,2),LOOKUP(E172,AK:AS),LOOKUP(E172,AU:BC)),IF(C27&gt;2,LOOKUP(E172,BE:BM),IF(C27=2,LOOKUP(E172,AU:BC),LOOKUP(E172,AK:AS)))),AI36)</f>
        <v>Philemon 1-25,</v>
      </c>
      <c r="N172" s="251"/>
      <c r="O172" s="78"/>
      <c r="Z172" s="12"/>
      <c r="AK172" s="2">
        <v>165</v>
      </c>
      <c r="AL172" s="13" t="s">
        <v>3122</v>
      </c>
      <c r="AM172" s="64" t="s">
        <v>3123</v>
      </c>
      <c r="AN172" s="64" t="s">
        <v>3124</v>
      </c>
      <c r="AO172" s="63" t="s">
        <v>2701</v>
      </c>
      <c r="AP172" s="64" t="s">
        <v>3125</v>
      </c>
      <c r="AQ172" s="63" t="s">
        <v>3126</v>
      </c>
      <c r="AR172" s="64" t="s">
        <v>3127</v>
      </c>
      <c r="AS172" s="144" t="s">
        <v>3128</v>
      </c>
      <c r="AU172" s="2">
        <v>165</v>
      </c>
      <c r="AV172" s="13" t="s">
        <v>3122</v>
      </c>
      <c r="AW172" s="67" t="s">
        <v>3129</v>
      </c>
      <c r="AX172" s="66" t="s">
        <v>3130</v>
      </c>
      <c r="AY172" s="67" t="s">
        <v>3131</v>
      </c>
      <c r="AZ172" s="66" t="s">
        <v>3132</v>
      </c>
      <c r="BA172" s="67" t="s">
        <v>3133</v>
      </c>
      <c r="BB172" s="66" t="s">
        <v>3134</v>
      </c>
      <c r="BC172" s="67" t="s">
        <v>3135</v>
      </c>
      <c r="BE172" s="2">
        <v>165</v>
      </c>
      <c r="BF172" s="13" t="s">
        <v>3122</v>
      </c>
      <c r="BG172" s="68" t="s">
        <v>3136</v>
      </c>
      <c r="BH172" s="69" t="s">
        <v>3137</v>
      </c>
      <c r="BI172" s="68" t="s">
        <v>3138</v>
      </c>
      <c r="BJ172" s="69" t="s">
        <v>3139</v>
      </c>
      <c r="BK172" s="69" t="s">
        <v>3140</v>
      </c>
      <c r="BL172" s="69" t="s">
        <v>3141</v>
      </c>
      <c r="BM172" s="69" t="s">
        <v>3142</v>
      </c>
    </row>
    <row r="173" spans="3:65" ht="12.75">
      <c r="C173" s="4"/>
      <c r="D173" s="256"/>
      <c r="E173" s="266">
        <v>163</v>
      </c>
      <c r="F173" s="258"/>
      <c r="G173" s="305" t="str">
        <f>IF(ISNUMBER(D171),IF(ISBLANK(BG7),IF(MOD(A7,2),LOOKUP(E173,AK:AM),LOOKUP(E173,AU:AW)),IF(C27&gt;2,LOOKUP(E173,BE:BG),IF(C27=2,LOOKUP(E173,AU:AW),LOOKUP(E173,AK:AM)))),AI36)</f>
        <v>Luke 10:1-12, 17-20</v>
      </c>
      <c r="H173" s="260" t="str">
        <f>IF(ISNUMBER(D171),IF(ISBLANK(BG7),IF(MOD(A7,2),LOOKUP(E173,AK:AN),LOOKUP(E173,AU:AX)),IF(C27&gt;2,LOOKUP(E173,BE:BH),IF(C27=2,LOOKUP(E173,AU:AX),LOOKUP(E173,AK:AN)))),AI36)</f>
        <v>Matthew 11:16-24</v>
      </c>
      <c r="I173" s="260" t="str">
        <f>IF(ISNUMBER(D171),IF(ISBLANK(BG7),IF(MOD(A7,2),LOOKUP(E173,AK:AO),LOOKUP(E173,AU:AY)),IF(C27&gt;2,LOOKUP(E173,BE:BI),IF(C27=2,LOOKUP(E173,AU:AY),LOOKUP(E173,AK:AO)))),AI36)</f>
        <v>Matthew 11:25-30</v>
      </c>
      <c r="J173" s="260" t="str">
        <f>IF(ISNUMBER(D171),IF(ISBLANK(BG7),IF(MOD(A7,2),LOOKUP(E173,AK:AP),LOOKUP(E173,AU:AZ)),IF(C27&gt;2,LOOKUP(E173,BE:BJ),IF(C27=2,LOOKUP(E173,AU:AZ),LOOKUP(E173,AK:AP)))),AI36)</f>
        <v>Matthew 12:1-14</v>
      </c>
      <c r="K173" s="260" t="str">
        <f>IF(ISNUMBER(D171),IF(ISBLANK(BG7),IF(MOD(A7,2),LOOKUP(E173,AK:AQ),LOOKUP(E173,AU:BA)),IF(C27&gt;2,LOOKUP(E173,BE:BK),IF(C27=2,LOOKUP(E173,AU:BA),LOOKUP(E173,AK:AQ)))),AI36)</f>
        <v>Matthew 12:15-21</v>
      </c>
      <c r="L173" s="260" t="str">
        <f>IF(ISNUMBER(D171),IF(ISBLANK(BG7),IF(MOD(A7,2),LOOKUP(E173,AK:AR),LOOKUP(E173,AU:BB)),IF(C27&gt;2,LOOKUP(E173,BE:BL),IF(C27=2,LOOKUP(E173,AU:BB),LOOKUP(E173,AK:AR)))),AI36)</f>
        <v>Matthew 12:22-32</v>
      </c>
      <c r="M173" s="260" t="str">
        <f>IF(ISNUMBER(D171),IF(ISBLANK(BG7),IF(MOD(A7,2),LOOKUP(E173,AK:AS),LOOKUP(E173,AU:BC)),IF(C27&gt;2,LOOKUP(E173,BE:BM),IF(C27=2,LOOKUP(E173,AU:BC),LOOKUP(E173,AK:AS)))),AI36)</f>
        <v>Matthew 12:33-42</v>
      </c>
      <c r="N173" s="267"/>
      <c r="O173" s="78"/>
      <c r="Z173" s="12"/>
      <c r="AK173" s="2">
        <v>166</v>
      </c>
      <c r="AL173" s="248" t="s">
        <v>3143</v>
      </c>
      <c r="AM173" s="64" t="s">
        <v>1866</v>
      </c>
      <c r="AN173" s="64" t="s">
        <v>2009</v>
      </c>
      <c r="AO173" s="63" t="s">
        <v>3144</v>
      </c>
      <c r="AP173" s="64" t="s">
        <v>3145</v>
      </c>
      <c r="AQ173" s="63" t="s">
        <v>1822</v>
      </c>
      <c r="AR173" s="64" t="s">
        <v>2010</v>
      </c>
      <c r="AS173" s="144" t="s">
        <v>2011</v>
      </c>
      <c r="AU173" s="2">
        <v>166</v>
      </c>
      <c r="AV173" s="248" t="s">
        <v>3143</v>
      </c>
      <c r="AW173" s="104" t="s">
        <v>3146</v>
      </c>
      <c r="AX173" s="103" t="s">
        <v>3147</v>
      </c>
      <c r="AY173" s="104" t="s">
        <v>3148</v>
      </c>
      <c r="AZ173" s="103" t="s">
        <v>1911</v>
      </c>
      <c r="BA173" s="104" t="s">
        <v>1912</v>
      </c>
      <c r="BB173" s="103" t="s">
        <v>1913</v>
      </c>
      <c r="BC173" s="104" t="s">
        <v>1914</v>
      </c>
      <c r="BE173" s="2">
        <v>166</v>
      </c>
      <c r="BF173" s="248" t="s">
        <v>3143</v>
      </c>
      <c r="BG173" s="68" t="s">
        <v>3149</v>
      </c>
      <c r="BH173" s="69" t="s">
        <v>3150</v>
      </c>
      <c r="BI173" s="68" t="s">
        <v>3151</v>
      </c>
      <c r="BJ173" s="69" t="s">
        <v>3152</v>
      </c>
      <c r="BK173" s="69" t="s">
        <v>3153</v>
      </c>
      <c r="BL173" s="69" t="s">
        <v>3154</v>
      </c>
      <c r="BM173" s="69" t="s">
        <v>3155</v>
      </c>
    </row>
    <row r="174" spans="3:65" ht="12.75">
      <c r="C174" s="4"/>
      <c r="D174" s="138">
        <f>IF(B20&gt;23,B19+168,"OMIT")</f>
        <v>41581</v>
      </c>
      <c r="E174" s="73">
        <v>164</v>
      </c>
      <c r="F174" s="250" t="s">
        <v>3156</v>
      </c>
      <c r="G174" s="263" t="str">
        <f>IF(ISNUMBER(D174),IF(ISBLANK(BG7),IF(MOD(A7,2),LOOKUP(E174,AK:AM),LOOKUP(E174,AU:AW)),IF(C27&gt;2,LOOKUP(E174,BE:BG),IF(C27=2,LOOKUP(E174,AU:AW),LOOKUP(E174,AK:AM)))),AI36)</f>
        <v>Haggai 1:1-2:9 or Jer. 44:15-30,</v>
      </c>
      <c r="H174" s="264" t="str">
        <f>IF(ISNUMBER(D174),IF(ISBLANK(BG7),IF(MOD(A7,2),LOOKUP(E174,AK:AN),LOOKUP(E174,AU:AX)),IF(C27&gt;2,LOOKUP(E174,BE:BH),IF(C27=2,LOOKUP(E174,AU:AX),LOOKUP(E174,AK:AN)))),AI36)</f>
        <v>Zech. 1:7-17 or Jer 45:1-5,</v>
      </c>
      <c r="I174" s="264" t="str">
        <f>IF(ISNUMBER(D174),IF(ISBLANK(BG7),IF(MOD(A7,2),LOOKUP(E174,AK:AO),LOOKUP(E174,AU:AY)),IF(C27&gt;2,LOOKUP(E174,BE:BI),IF(C27=2,LOOKUP(E174,AU:AY),LOOKUP(E174,AK:AO)))),AI36)</f>
        <v>Ezra 5:1-17 or Lam. 1:1-5 (6-9) 10-12,</v>
      </c>
      <c r="J174" s="264" t="str">
        <f>IF(ISNUMBER(D174),IF(ISBLANK(BG7),IF(MOD(A7,2),LOOKUP(E174,AK:AP),LOOKUP(E174,AU:AZ)),IF(C27&gt;2,LOOKUP(E174,BE:BJ),IF(C27=2,LOOKUP(E174,AU:AZ),LOOKUP(E174,AK:AP)))),AI36)</f>
        <v>Ezra 6:1-22 or Lam. 2:8-15,</v>
      </c>
      <c r="K174" s="264" t="str">
        <f>IF(ISNUMBER(D174),IF(ISBLANK(BG7),IF(MOD(A7,2),LOOKUP(E174,AK:AQ),LOOKUP(E174,AU:BA)),IF(C27&gt;2,LOOKUP(E174,BE:BK),IF(C27=2,LOOKUP(E174,AU:BA),LOOKUP(E174,AK:AQ)))),AI36)</f>
        <v>Neh. 1:1-11 or Lam. 2:16-22,</v>
      </c>
      <c r="L174" s="264" t="str">
        <f>IF(ISNUMBER(D174),IF(ISBLANK(BG7),IF(MOD(A7,2),LOOKUP(E174,AK:AR),LOOKUP(E174,AU:BB)),IF(C27&gt;2,LOOKUP(E174,BE:BL),IF(C27=2,LOOKUP(E174,AU:BB),LOOKUP(E174,AK:AR)))),AI36)</f>
        <v>Neh. 2:1-20 or Lam. 4:1-22,</v>
      </c>
      <c r="M174" s="264" t="str">
        <f>IF(ISNUMBER(D174),IF(ISBLANK(BG7),IF(MOD(A7,2),LOOKUP(E174,AK:AS),LOOKUP(E174,AU:BC)),IF(C27&gt;2,LOOKUP(E174,BE:BM),IF(C27=2,LOOKUP(E174,AU:BC),LOOKUP(E174,AK:AS)))),AI36)</f>
        <v>Neh 4:1-23 or Lam. 5:1-22, </v>
      </c>
      <c r="N174" s="251" t="s">
        <v>3156</v>
      </c>
      <c r="O174" s="56">
        <f>D174</f>
        <v>41581</v>
      </c>
      <c r="Z174" s="12"/>
      <c r="AK174" s="2">
        <v>167</v>
      </c>
      <c r="AL174" s="13" t="s">
        <v>3157</v>
      </c>
      <c r="AM174" s="89" t="s">
        <v>3158</v>
      </c>
      <c r="AN174" s="89" t="s">
        <v>3159</v>
      </c>
      <c r="AO174" s="88" t="s">
        <v>3160</v>
      </c>
      <c r="AP174" s="89" t="s">
        <v>3161</v>
      </c>
      <c r="AQ174" s="88" t="s">
        <v>3162</v>
      </c>
      <c r="AR174" s="89" t="s">
        <v>3163</v>
      </c>
      <c r="AS174" s="242" t="s">
        <v>3164</v>
      </c>
      <c r="AU174" s="2">
        <v>167</v>
      </c>
      <c r="AV174" s="13" t="s">
        <v>3157</v>
      </c>
      <c r="AW174" s="67" t="s">
        <v>3165</v>
      </c>
      <c r="AX174" s="66" t="s">
        <v>3166</v>
      </c>
      <c r="AY174" s="67" t="s">
        <v>3167</v>
      </c>
      <c r="AZ174" s="66" t="s">
        <v>3168</v>
      </c>
      <c r="BA174" s="67" t="s">
        <v>3169</v>
      </c>
      <c r="BB174" s="66" t="s">
        <v>3170</v>
      </c>
      <c r="BC174" s="67" t="s">
        <v>260</v>
      </c>
      <c r="BE174" s="2">
        <v>167</v>
      </c>
      <c r="BF174" s="13" t="s">
        <v>3157</v>
      </c>
      <c r="BG174" s="68" t="s">
        <v>3171</v>
      </c>
      <c r="BH174" s="69" t="s">
        <v>3172</v>
      </c>
      <c r="BI174" s="68" t="s">
        <v>3173</v>
      </c>
      <c r="BJ174" s="69" t="s">
        <v>3174</v>
      </c>
      <c r="BK174" s="69" t="s">
        <v>3175</v>
      </c>
      <c r="BL174" s="69" t="s">
        <v>3176</v>
      </c>
      <c r="BM174" s="69" t="s">
        <v>3177</v>
      </c>
    </row>
    <row r="175" spans="3:65" ht="12.75">
      <c r="C175" s="279"/>
      <c r="D175" s="138"/>
      <c r="E175" s="73">
        <v>165</v>
      </c>
      <c r="F175" s="250"/>
      <c r="G175" s="255" t="str">
        <f>IF(ISNUMBER(D174),IF(ISBLANK(BG7),IF(MOD(A7,2),LOOKUP(E175,AK:AM),LOOKUP(E175,AU:AW)),IF(C27&gt;2,LOOKUP(E175,BE:BG),IF(C27=2,LOOKUP(E175,AU:AW),LOOKUP(E175,AK:AM)))),AI36)</f>
        <v>Acts 18:24-19:7,</v>
      </c>
      <c r="H175" s="111" t="str">
        <f>IF(ISNUMBER(D174),IF(ISBLANK(BG7),IF(MOD(A7,2),LOOKUP(E175,AK:AN),LOOKUP(E175,AU:AX)),IF(C27&gt;2,LOOKUP(E175,BE:BH),IF(C27=2,LOOKUP(E175,AU:AX),LOOKUP(E175,AK:AN)))),AI36)</f>
        <v>Revelation 1:4-20,</v>
      </c>
      <c r="I175" s="111" t="str">
        <f>IF(ISNUMBER(D174),IF(ISBLANK(BG7),IF(MOD(A7,2),LOOKUP(E175,AK:AO),LOOKUP(E175,AU:AY)),IF(C27&gt;2,LOOKUP(E175,BE:BI),IF(C27=2,LOOKUP(E175,AU:AY),LOOKUP(E175,AK:AO)))),AI36)</f>
        <v>Revelation 4:1-11,</v>
      </c>
      <c r="J175" s="111" t="str">
        <f>IF(ISNUMBER(D174),IF(ISBLANK(BG7),IF(MOD(A7,2),LOOKUP(E175,AK:AP),LOOKUP(E175,AU:AZ)),IF(C27&gt;2,LOOKUP(E175,BE:BJ),IF(C27=2,LOOKUP(E175,AU:AZ),LOOKUP(E175,AK:AP)))),AI36)</f>
        <v>Revelation 5:1-10,</v>
      </c>
      <c r="K175" s="111" t="str">
        <f>IF(ISNUMBER(D174),IF(ISBLANK(BG7),IF(MOD(A7,2),LOOKUP(E175,AK:AQ),LOOKUP(E175,AU:BA)),IF(C27&gt;2,LOOKUP(E175,BE:BK),IF(C27=2,LOOKUP(E175,AU:BA),LOOKUP(E175,AK:AQ)))),AI36)</f>
        <v>Revelation 5:11-6:11,</v>
      </c>
      <c r="L175" s="111" t="str">
        <f>IF(ISNUMBER(D174),IF(ISBLANK(BG7),IF(MOD(A7,2),LOOKUP(E175,AK:AR),LOOKUP(E175,AU:BB)),IF(C27&gt;2,LOOKUP(E175,BE:BL),IF(C27=2,LOOKUP(E175,AU:BB),LOOKUP(E175,AK:AR)))),AI36)</f>
        <v>Revelation 6:12-7:4,</v>
      </c>
      <c r="M175" s="111" t="str">
        <f>IF(ISNUMBER(D174),IF(ISBLANK(BG7),IF(MOD(A7,2),LOOKUP(E175,AK:AS),LOOKUP(E175,AU:BC)),IF(C27&gt;2,LOOKUP(E175,BE:BM),IF(C27=2,LOOKUP(E175,AU:BC),LOOKUP(E175,AK:AS)))),AI36)</f>
        <v>Revelation 7:(4-8) 9-17,</v>
      </c>
      <c r="N175" s="251"/>
      <c r="O175" s="78"/>
      <c r="Z175" s="12"/>
      <c r="AK175" s="2">
        <v>168</v>
      </c>
      <c r="AL175" s="13" t="s">
        <v>3178</v>
      </c>
      <c r="AM175" s="64" t="s">
        <v>3179</v>
      </c>
      <c r="AN175" s="64" t="s">
        <v>2044</v>
      </c>
      <c r="AO175" s="63" t="s">
        <v>3180</v>
      </c>
      <c r="AP175" s="64" t="s">
        <v>2103</v>
      </c>
      <c r="AQ175" s="63" t="s">
        <v>3181</v>
      </c>
      <c r="AR175" s="64" t="s">
        <v>2155</v>
      </c>
      <c r="AS175" s="144" t="s">
        <v>3182</v>
      </c>
      <c r="AU175" s="2">
        <v>168</v>
      </c>
      <c r="AV175" s="13" t="s">
        <v>3178</v>
      </c>
      <c r="AW175" s="67" t="s">
        <v>3183</v>
      </c>
      <c r="AX175" s="66" t="s">
        <v>3181</v>
      </c>
      <c r="AY175" s="67" t="s">
        <v>3184</v>
      </c>
      <c r="AZ175" s="66" t="s">
        <v>3185</v>
      </c>
      <c r="BA175" s="67" t="s">
        <v>3186</v>
      </c>
      <c r="BB175" s="66" t="s">
        <v>3187</v>
      </c>
      <c r="BC175" s="67" t="s">
        <v>3188</v>
      </c>
      <c r="BE175" s="2">
        <v>168</v>
      </c>
      <c r="BF175" s="13" t="s">
        <v>3178</v>
      </c>
      <c r="BG175" s="68" t="s">
        <v>3189</v>
      </c>
      <c r="BH175" s="69" t="s">
        <v>3190</v>
      </c>
      <c r="BI175" s="68" t="s">
        <v>3191</v>
      </c>
      <c r="BJ175" s="69" t="s">
        <v>3192</v>
      </c>
      <c r="BK175" s="69" t="s">
        <v>3193</v>
      </c>
      <c r="BL175" s="69" t="s">
        <v>3194</v>
      </c>
      <c r="BM175" s="69" t="s">
        <v>3195</v>
      </c>
    </row>
    <row r="176" spans="3:65" ht="12.75">
      <c r="C176" s="4"/>
      <c r="D176" s="138"/>
      <c r="E176" s="73">
        <v>166</v>
      </c>
      <c r="F176" s="250"/>
      <c r="G176" s="259" t="str">
        <f>IF(ISNUMBER(D174),IF(ISBLANK(BG7),IF(MOD(A7,2),LOOKUP(E176,AK:AM),LOOKUP(E176,AU:AW)),IF(C27&gt;2,LOOKUP(E176,BE:BG),IF(C27=2,LOOKUP(E176,AU:AW),LOOKUP(E176,AK:AM)))),AI36)</f>
        <v>Luke 10:25-37</v>
      </c>
      <c r="H176" s="260" t="str">
        <f>IF(ISNUMBER(D174),IF(ISBLANK(BG7),IF(MOD(A7,2),LOOKUP(E176,AK:AN),LOOKUP(E176,AU:AX)),IF(C27&gt;2,LOOKUP(E176,BE:BH),IF(C27=2,LOOKUP(E176,AU:AX),LOOKUP(E176,AK:AN)))),AI36)</f>
        <v>Matthew 12:43-50</v>
      </c>
      <c r="I176" s="260" t="str">
        <f>IF(ISNUMBER(D174),IF(ISBLANK(BG7),IF(MOD(A7,2),LOOKUP(E176,AK:AO),LOOKUP(E176,AU:AY)),IF(C27&gt;2,LOOKUP(E176,BE:BI),IF(C27=2,LOOKUP(E176,AU:AY),LOOKUP(E176,AK:AO)))),AI36)</f>
        <v>Matthew 13:1-9</v>
      </c>
      <c r="J176" s="260" t="str">
        <f>IF(ISNUMBER(D174),IF(ISBLANK(BG7),IF(MOD(A7,2),LOOKUP(E176,AK:AP),LOOKUP(E176,AU:AZ)),IF(C27&gt;2,LOOKUP(E176,BE:BJ),IF(C27=2,LOOKUP(E176,AU:AZ),LOOKUP(E176,AK:AP)))),AI36)</f>
        <v>Matthew 13:10-17</v>
      </c>
      <c r="K176" s="260" t="str">
        <f>IF(ISNUMBER(D174),IF(ISBLANK(BG7),IF(MOD(A7,2),LOOKUP(E176,AK:AQ),LOOKUP(E176,AU:BA)),IF(C27&gt;2,LOOKUP(E176,BE:BK),IF(C27=2,LOOKUP(E176,AU:BA),LOOKUP(E176,AK:AQ)))),AI36)</f>
        <v>Matthew 13:18-23</v>
      </c>
      <c r="L176" s="111" t="str">
        <f>IF(ISNUMBER(D174),IF(ISBLANK(BG7),IF(MOD(A7,2),LOOKUP(E176,AK:AR),LOOKUP(E176,AU:BB)),IF(C27&gt;2,LOOKUP(E176,BE:BL),IF(C27=2,LOOKUP(E176,AU:BB),LOOKUP(E176,AK:AR)))),AI36)</f>
        <v>Matthew 13:24-30</v>
      </c>
      <c r="M176" s="260" t="str">
        <f>IF(ISNUMBER(D174),IF(ISBLANK(BG7),IF(MOD(A7,2),LOOKUP(E176,AK:AS),LOOKUP(E176,AU:BC)),IF(C27&gt;2,LOOKUP(E176,BE:BM),IF(C27=2,LOOKUP(E176,AU:BC),LOOKUP(E176,AK:AS)))),AI36)</f>
        <v>Matthew 13:31-35</v>
      </c>
      <c r="N176" s="251"/>
      <c r="O176" s="99"/>
      <c r="Z176" s="12"/>
      <c r="AK176" s="2">
        <v>169</v>
      </c>
      <c r="AL176" s="13" t="s">
        <v>3196</v>
      </c>
      <c r="AM176" s="102" t="s">
        <v>1817</v>
      </c>
      <c r="AN176" s="102" t="s">
        <v>2012</v>
      </c>
      <c r="AO176" s="101" t="s">
        <v>2067</v>
      </c>
      <c r="AP176" s="102" t="s">
        <v>2068</v>
      </c>
      <c r="AQ176" s="101" t="s">
        <v>2069</v>
      </c>
      <c r="AR176" s="102" t="s">
        <v>2070</v>
      </c>
      <c r="AS176" s="249" t="s">
        <v>2071</v>
      </c>
      <c r="AU176" s="2">
        <v>169</v>
      </c>
      <c r="AV176" s="13" t="s">
        <v>3196</v>
      </c>
      <c r="AW176" s="67" t="s">
        <v>2180</v>
      </c>
      <c r="AX176" s="66" t="s">
        <v>1915</v>
      </c>
      <c r="AY176" s="67" t="s">
        <v>1957</v>
      </c>
      <c r="AZ176" s="66" t="s">
        <v>1958</v>
      </c>
      <c r="BA176" s="67" t="s">
        <v>1959</v>
      </c>
      <c r="BB176" s="66" t="s">
        <v>1960</v>
      </c>
      <c r="BC176" s="67" t="s">
        <v>1961</v>
      </c>
      <c r="BE176" s="2">
        <v>169</v>
      </c>
      <c r="BF176" s="13" t="s">
        <v>3196</v>
      </c>
      <c r="BG176" s="68" t="s">
        <v>3197</v>
      </c>
      <c r="BH176" s="69" t="s">
        <v>3198</v>
      </c>
      <c r="BI176" s="68" t="s">
        <v>3199</v>
      </c>
      <c r="BJ176" s="69" t="s">
        <v>3200</v>
      </c>
      <c r="BK176" s="69" t="s">
        <v>3201</v>
      </c>
      <c r="BL176" s="69" t="s">
        <v>3202</v>
      </c>
      <c r="BM176" s="69" t="s">
        <v>3203</v>
      </c>
    </row>
    <row r="177" spans="3:65" ht="12.75">
      <c r="C177" s="4"/>
      <c r="D177" s="306">
        <f>IF(B20&gt;24,B19+175,"OMIT")</f>
        <v>41588</v>
      </c>
      <c r="E177" s="261">
        <v>167</v>
      </c>
      <c r="F177" s="262" t="s">
        <v>3204</v>
      </c>
      <c r="G177" s="303" t="str">
        <f>IF(ISNUMBER(D177),IF(ISBLANK(BG7),IF(MOD(A7,2),LOOKUP(E177,AK:AM),LOOKUP(E177,AU:AW)),IF(C27&gt;2,LOOKUP(E177,BE:BG),IF(C27=2,LOOKUP(E177,AU:AW),LOOKUP(E177,AK:AM)))),AI36)</f>
        <v>Neh. 5:1-19 or Ezra 1:1-11,</v>
      </c>
      <c r="H177" s="298" t="str">
        <f>IF(ISNUMBER(D177),IF(ISBLANK(BG7),IF(MOD(A7,2),LOOKUP(E177,AK:AN),LOOKUP(E177,AU:AX)),IF(C27&gt;2,LOOKUP(E177,BE:BH),IF(C27=2,LOOKUP(E177,AU:AX),LOOKUP(E177,AK:AN)))),AI36)</f>
        <v>Neh 6:1-19 or Ezra 3:1-13,</v>
      </c>
      <c r="I177" s="298" t="str">
        <f>IF(ISNUMBER(D177),IF(ISBLANK(BG7),IF(MOD(A7,2),LOOKUP(E177,AK:AO),LOOKUP(E177,AU:AY)),IF(C27&gt;2,LOOKUP(E177,BE:BI),IF(C27=2,LOOKUP(E177,AU:AY),LOOKUP(E177,AK:AO)))),AI36)</f>
        <v>Neh. 12:27-31a, 42b-47 or Ezra 4:7, 11-24,</v>
      </c>
      <c r="J177" s="298" t="str">
        <f>IF(ISNUMBER(D177),IF(ISBLANK(BG7),IF(MOD(A7,2),LOOKUP(E177,AK:AP),LOOKUP(E177,AU:AZ)),IF(C27&gt;2,LOOKUP(E177,BE:BJ),IF(C27=2,LOOKUP(E177,AU:AZ),LOOKUP(E177,AK:AP)))),AI36)</f>
        <v>Neh. 13:4-22 or Haggai 1:1-2:9,</v>
      </c>
      <c r="K177" s="307" t="str">
        <f>IF(ISNUMBER(D177),IF(ISBLANK(BG7),IF(MOD(A7,2),LOOKUP(E177,AK:AQ),LOOKUP(E177,AU:BA)),IF(C27&gt;2,LOOKUP(E177,BE:BK),IF(C27=2,LOOKUP(E177,AU:BA),LOOKUP(E177,AK:AQ)))),AI36)</f>
        <v>Ezra 7:(1-10) 11-26 or Zech. 1:7-17,</v>
      </c>
      <c r="L177" s="298" t="str">
        <f>IF(ISNUMBER(D177),IF(ISBLANK(BG7),IF(MOD(A7,2),LOOKUP(E177,AK:AR),LOOKUP(E177,AU:BB)),IF(C27&gt;2,LOOKUP(E177,BE:BL),IF(C27=2,LOOKUP(E177,AU:BB),LOOKUP(E177,AK:AR)))),AI36)</f>
        <v>Ezra 7:27-28, 8:21-36 or 5:1-17,</v>
      </c>
      <c r="M177" s="308" t="str">
        <f>IF(ISNUMBER(D177),IF(ISBLANK(BG7),IF(MOD(A7,2),LOOKUP(E177,AK:AS),LOOKUP(E177,AU:BC)),IF(C27&gt;2,LOOKUP(E177,BE:BM),IF(C27=2,LOOKUP(E177,AU:BC),LOOKUP(E177,AK:AS)))),AI36)</f>
        <v>Ezra 9:1-15 or 6:1-22,</v>
      </c>
      <c r="N177" s="265" t="s">
        <v>3204</v>
      </c>
      <c r="O177" s="109">
        <f>D177</f>
        <v>41588</v>
      </c>
      <c r="Z177" s="12"/>
      <c r="AK177" s="2">
        <v>170</v>
      </c>
      <c r="AL177" s="245" t="s">
        <v>3205</v>
      </c>
      <c r="AM177" s="64" t="s">
        <v>3206</v>
      </c>
      <c r="AN177" s="64" t="s">
        <v>3207</v>
      </c>
      <c r="AO177" s="63" t="s">
        <v>3208</v>
      </c>
      <c r="AP177" s="64" t="s">
        <v>3209</v>
      </c>
      <c r="AQ177" s="63" t="s">
        <v>3210</v>
      </c>
      <c r="AR177" s="64" t="s">
        <v>3211</v>
      </c>
      <c r="AS177" s="144" t="s">
        <v>3212</v>
      </c>
      <c r="AU177" s="2">
        <v>170</v>
      </c>
      <c r="AV177" s="245" t="s">
        <v>3205</v>
      </c>
      <c r="AW177" s="91" t="s">
        <v>3213</v>
      </c>
      <c r="AX177" s="90" t="s">
        <v>3214</v>
      </c>
      <c r="AY177" s="91" t="s">
        <v>3215</v>
      </c>
      <c r="AZ177" s="90" t="s">
        <v>3216</v>
      </c>
      <c r="BA177" s="91" t="s">
        <v>3217</v>
      </c>
      <c r="BB177" s="90" t="s">
        <v>3218</v>
      </c>
      <c r="BC177" s="91" t="s">
        <v>3219</v>
      </c>
      <c r="BE177" s="2">
        <v>170</v>
      </c>
      <c r="BF177" s="245" t="s">
        <v>3205</v>
      </c>
      <c r="BG177" s="68" t="s">
        <v>3220</v>
      </c>
      <c r="BH177" s="69" t="s">
        <v>3221</v>
      </c>
      <c r="BI177" s="68" t="s">
        <v>3222</v>
      </c>
      <c r="BJ177" s="69" t="s">
        <v>3223</v>
      </c>
      <c r="BK177" s="69" t="s">
        <v>3224</v>
      </c>
      <c r="BL177" s="69" t="s">
        <v>3225</v>
      </c>
      <c r="BM177" s="69" t="s">
        <v>3226</v>
      </c>
    </row>
    <row r="178" spans="3:65" ht="12.75">
      <c r="C178" s="279"/>
      <c r="D178" s="220"/>
      <c r="E178" s="73">
        <v>168</v>
      </c>
      <c r="F178" s="250"/>
      <c r="G178" s="304" t="str">
        <f>IF(ISNUMBER(D177),IF(ISBLANK(BG7),IF(MOD(A7,2),LOOKUP(E178,AK:AM),LOOKUP(E178,AU:AW)),IF(C27&gt;2,LOOKUP(E178,BE:BG),IF(C27=2,LOOKUP(E178,AU:AW),LOOKUP(E178,AK:AM)))),AI36)</f>
        <v>Acts 20:7-12,</v>
      </c>
      <c r="H178" s="178" t="str">
        <f>IF(ISNUMBER(D177),IF(ISBLANK(BG7),IF(MOD(A7,2),LOOKUP(E178,AK:AN),LOOKUP(E178,AU:AX)),IF(C27&gt;2,LOOKUP(E178,BE:BH),IF(C27=2,LOOKUP(E178,AU:AX),LOOKUP(E178,AK:AN)))),AI36)</f>
        <v>Revelation 10:1-11,</v>
      </c>
      <c r="I178" s="178" t="str">
        <f>IF(ISNUMBER(D177),IF(ISBLANK(BG7),IF(MOD(A7,2),LOOKUP(E178,AK:AO),LOOKUP(E178,AU:AY)),IF(C27&gt;2,LOOKUP(E178,BE:BI),IF(C27=2,LOOKUP(E178,AU:AY),LOOKUP(E178,AK:AO)))),AI36)</f>
        <v>Revelation 11:1-19,</v>
      </c>
      <c r="J178" s="178" t="str">
        <f>IF(ISNUMBER(D177),IF(ISBLANK(BG7),IF(MOD(A7,2),LOOKUP(E178,AK:AP),LOOKUP(E178,AU:AZ)),IF(C27&gt;2,LOOKUP(E178,BE:BJ),IF(C27=2,LOOKUP(E178,AU:AZ),LOOKUP(E178,AK:AP)))),AI36)</f>
        <v>Revelation 12:1-12,</v>
      </c>
      <c r="K178" s="309" t="str">
        <f>IF(ISNUMBER(D177),IF(ISBLANK(BG7),IF(MOD(A7,2),LOOKUP(E178,AK:AQ),LOOKUP(E178,AU:BA)),IF(C27&gt;2,LOOKUP(E178,BE:BK),IF(C27=2,LOOKUP(E178,AU:BA),LOOKUP(E178,AK:AQ)))),AI36)</f>
        <v>Revelation 14:1-13,</v>
      </c>
      <c r="L178" s="178" t="str">
        <f>IF(ISNUMBER(D177),IF(ISBLANK(BG7),IF(MOD(A7,2),LOOKUP(E178,AK:AR),LOOKUP(E178,AU:BB)),IF(C27&gt;2,LOOKUP(E178,BE:BL),IF(C27=2,LOOKUP(E178,AU:BB),LOOKUP(E178,AK:AR)))),AI36)</f>
        <v>Revelation 15:1-8,</v>
      </c>
      <c r="M178" s="310" t="str">
        <f>IF(ISNUMBER(D177),IF(ISBLANK(BG7),IF(MOD(A7,2),LOOKUP(E178,AK:AS),LOOKUP(E178,AU:BC)),IF(C27&gt;2,LOOKUP(E178,BE:BM),IF(C27=2,LOOKUP(E178,AU:BC),LOOKUP(E178,AK:AS)))),AI36)</f>
        <v>Revelation 17:1-14,</v>
      </c>
      <c r="N178" s="251"/>
      <c r="O178" s="78"/>
      <c r="Z178" s="12"/>
      <c r="AK178" s="2">
        <v>171</v>
      </c>
      <c r="AL178" s="13" t="s">
        <v>3227</v>
      </c>
      <c r="AM178" s="64" t="s">
        <v>3228</v>
      </c>
      <c r="AN178" s="64" t="s">
        <v>2853</v>
      </c>
      <c r="AO178" s="63" t="s">
        <v>3229</v>
      </c>
      <c r="AP178" s="64" t="s">
        <v>3230</v>
      </c>
      <c r="AQ178" s="63" t="s">
        <v>3231</v>
      </c>
      <c r="AR178" s="64" t="s">
        <v>436</v>
      </c>
      <c r="AS178" s="144" t="s">
        <v>3232</v>
      </c>
      <c r="AU178" s="2">
        <v>171</v>
      </c>
      <c r="AV178" s="13" t="s">
        <v>3227</v>
      </c>
      <c r="AW178" s="67" t="s">
        <v>3029</v>
      </c>
      <c r="AX178" s="66" t="s">
        <v>3233</v>
      </c>
      <c r="AY178" s="67" t="s">
        <v>3231</v>
      </c>
      <c r="AZ178" s="66" t="s">
        <v>3234</v>
      </c>
      <c r="BA178" s="67" t="s">
        <v>1797</v>
      </c>
      <c r="BB178" s="66" t="s">
        <v>1798</v>
      </c>
      <c r="BC178" s="67" t="s">
        <v>2749</v>
      </c>
      <c r="BE178" s="2">
        <v>171</v>
      </c>
      <c r="BF178" s="13" t="s">
        <v>3227</v>
      </c>
      <c r="BG178" s="68" t="s">
        <v>3235</v>
      </c>
      <c r="BH178" s="69" t="s">
        <v>3236</v>
      </c>
      <c r="BI178" s="68" t="s">
        <v>3237</v>
      </c>
      <c r="BJ178" s="69" t="s">
        <v>3238</v>
      </c>
      <c r="BK178" s="69" t="s">
        <v>3239</v>
      </c>
      <c r="BL178" s="69" t="s">
        <v>3240</v>
      </c>
      <c r="BM178" s="69" t="s">
        <v>3241</v>
      </c>
    </row>
    <row r="179" spans="2:65" ht="12.75">
      <c r="B179" s="4"/>
      <c r="C179" s="4"/>
      <c r="D179" s="311"/>
      <c r="E179" s="266">
        <v>169</v>
      </c>
      <c r="F179" s="258"/>
      <c r="G179" s="305" t="str">
        <f>IF(ISNUMBER(D177),IF(ISBLANK(BG7),IF(MOD(A7,2),LOOKUP(E179,AK:AM),LOOKUP(E179,AU:AW)),IF(C27&gt;2,LOOKUP(E179,BE:BG),IF(C27=2,LOOKUP(E179,AU:AW),LOOKUP(E179,AK:AM)))),AI36)</f>
        <v>Luke 12:22-31</v>
      </c>
      <c r="H179" s="290" t="str">
        <f>IF(ISNUMBER(D177),IF(ISBLANK(BG7),IF(MOD(A7,2),LOOKUP(E179,AK:AN),LOOKUP(E179,AU:AX)),IF(C27&gt;2,LOOKUP(E179,BE:BH),IF(C27=2,LOOKUP(E179,AU:AX),LOOKUP(E179,AK:AN)))),AI36)</f>
        <v>Matthew 13:36-43</v>
      </c>
      <c r="I179" s="290" t="str">
        <f>IF(ISNUMBER(D177),IF(ISBLANK(BG7),IF(MOD(A7,2),LOOKUP(E179,AK:AO),LOOKUP(E179,AU:AY)),IF(C27&gt;2,LOOKUP(E179,BE:BI),IF(C27=2,LOOKUP(E179,AU:AY),LOOKUP(E179,AK:AO)))),AI36)</f>
        <v>Matthew 13:44-52</v>
      </c>
      <c r="J179" s="290" t="str">
        <f>IF(ISNUMBER(D177),IF(ISBLANK(BG7),IF(MOD(A7,2),LOOKUP(E179,AK:AP),LOOKUP(E179,AU:AZ)),IF(C27&gt;2,LOOKUP(E179,BE:BJ),IF(C27=2,LOOKUP(E179,AU:AZ),LOOKUP(E179,AK:AP)))),AI36)</f>
        <v>Matthew 13:53-58</v>
      </c>
      <c r="K179" s="312" t="str">
        <f>IF(ISNUMBER(D177),IF(ISBLANK(BG7),IF(MOD(A7,2),LOOKUP(E179,AK:AQ),LOOKUP(E179,AU:BA)),IF(C27&gt;2,LOOKUP(E179,BE:BK),IF(C27=2,LOOKUP(E179,AU:BA),LOOKUP(E179,AK:AQ)))),AI36)</f>
        <v>Matthew 14:1-12</v>
      </c>
      <c r="L179" s="290" t="str">
        <f>IF(ISNUMBER(D177),IF(ISBLANK(BG7),IF(MOD(A7,2),LOOKUP(E179,AK:AR),LOOKUP(E179,AU:BB)),IF(C27&gt;2,LOOKUP(E179,BE:BL),IF(C27=2,LOOKUP(E179,AU:BB),LOOKUP(E179,AK:AR)))),AI36)</f>
        <v>Matthew 14:13-21</v>
      </c>
      <c r="M179" s="313" t="str">
        <f>IF(ISNUMBER(D177),IF(ISBLANK(BG7),IF(MOD(A7,2),LOOKUP(E179,AK:AS),LOOKUP(E179,AU:BC)),IF(C27&gt;2,LOOKUP(E179,BE:BM),IF(C27=2,LOOKUP(E179,AU:BC),LOOKUP(E179,AK:AS)))),AI36)</f>
        <v>Matthew 14:22-36</v>
      </c>
      <c r="N179" s="267"/>
      <c r="O179" s="78"/>
      <c r="Z179" s="12"/>
      <c r="AK179" s="2">
        <v>172</v>
      </c>
      <c r="AL179" s="248" t="s">
        <v>3242</v>
      </c>
      <c r="AM179" s="64" t="s">
        <v>1962</v>
      </c>
      <c r="AN179" s="64" t="s">
        <v>2072</v>
      </c>
      <c r="AO179" s="63" t="s">
        <v>2119</v>
      </c>
      <c r="AP179" s="64" t="s">
        <v>3243</v>
      </c>
      <c r="AQ179" s="63" t="s">
        <v>2120</v>
      </c>
      <c r="AR179" s="64" t="s">
        <v>2121</v>
      </c>
      <c r="AS179" s="144" t="s">
        <v>2122</v>
      </c>
      <c r="AU179" s="2">
        <v>172</v>
      </c>
      <c r="AV179" s="248" t="s">
        <v>3242</v>
      </c>
      <c r="AW179" s="104" t="s">
        <v>2238</v>
      </c>
      <c r="AX179" s="103" t="s">
        <v>1962</v>
      </c>
      <c r="AY179" s="104" t="s">
        <v>2000</v>
      </c>
      <c r="AZ179" s="103" t="s">
        <v>2001</v>
      </c>
      <c r="BA179" s="104" t="s">
        <v>2002</v>
      </c>
      <c r="BB179" s="103" t="s">
        <v>2003</v>
      </c>
      <c r="BC179" s="104" t="s">
        <v>2004</v>
      </c>
      <c r="BE179" s="2">
        <v>172</v>
      </c>
      <c r="BF179" s="248" t="s">
        <v>3242</v>
      </c>
      <c r="BG179" s="68" t="s">
        <v>3244</v>
      </c>
      <c r="BH179" s="69" t="s">
        <v>3245</v>
      </c>
      <c r="BI179" s="68" t="s">
        <v>3246</v>
      </c>
      <c r="BJ179" s="69" t="s">
        <v>3247</v>
      </c>
      <c r="BK179" s="69" t="s">
        <v>3248</v>
      </c>
      <c r="BL179" s="69" t="s">
        <v>3249</v>
      </c>
      <c r="BM179" s="69" t="s">
        <v>3250</v>
      </c>
    </row>
    <row r="180" spans="2:65" ht="12.75">
      <c r="B180" s="4"/>
      <c r="C180" s="4"/>
      <c r="D180" s="220">
        <f>IF(B20&gt;25,B21-14,"OMIT")</f>
        <v>41595</v>
      </c>
      <c r="E180" s="73">
        <v>170</v>
      </c>
      <c r="F180" s="250" t="s">
        <v>3251</v>
      </c>
      <c r="G180" s="303" t="str">
        <f>IF(ISNUMBER(D180),IF(ISBLANK(BG7),IF(MOD(A7,2),LOOKUP(E180,AK:AM),LOOKUP(E180,AU:AW)),IF(C27&gt;2,LOOKUP(E180,BE:BG),IF(C27=2,LOOKUP(E180,AU:AW),LOOKUP(E180,AK:AM)))),AI36)</f>
        <v>Ezra 10:1-17 or Neh 1:1-11,</v>
      </c>
      <c r="H180" s="298" t="str">
        <f>IF(ISNUMBER(D180),IF(ISBLANK(BG7),IF(MOD(A7,2),LOOKUP(E180,AK:AN),LOOKUP(E180,AU:AX)),IF(C27&gt;2,LOOKUP(E180,BE:BH),IF(C27=2,LOOKUP(E180,AU:AX),LOOKUP(E180,AK:AN)))),AI36)</f>
        <v>Neh 9:1-15 (16-25) or 2:1-20,</v>
      </c>
      <c r="I180" s="298" t="str">
        <f>IF(ISNUMBER(D180),IF(ISBLANK(BG7),IF(MOD(A7,2),LOOKUP(E180,AK:AO),LOOKUP(E180,AU:AY)),IF(C27&gt;2,LOOKUP(E180,BE:BI),IF(C27=2,LOOKUP(E180,AU:AY),LOOKUP(E180,AK:AO)))),AI36)</f>
        <v>Neh 9:26-38 or 4:1-23,</v>
      </c>
      <c r="J180" s="298" t="str">
        <f>IF(ISNUMBER(D180),IF(ISBLANK(BG7),IF(MOD(A7,2),LOOKUP(E180,AK:AP),LOOKUP(E180,AU:AZ)),IF(C27&gt;2,LOOKUP(E180,BE:BJ),IF(C27=2,LOOKUP(E180,AU:AZ),LOOKUP(E180,AK:AP)))),AI36)</f>
        <v>Neh7:73b-8:3, 5-18 or 5:1-19,</v>
      </c>
      <c r="K180" s="298" t="str">
        <f>IF(ISNUMBER(D180),IF(ISBLANK(BG7),IF(MOD(A7,2),LOOKUP(E180,AK:AQ),LOOKUP(E180,AU:BA)),IF(C27&gt;2,LOOKUP(E180,BE:BK),IF(C27=2,LOOKUP(E180,AU:BA),LOOKUP(E180,AK:AQ)))),AI36)</f>
        <v>Nehemiah 6:1-19,</v>
      </c>
      <c r="L180" s="298" t="str">
        <f>IF(ISNUMBER(D180),IF(ISBLANK(BG7),IF(MOD(A7,2),LOOKUP(E180,AK:AR),LOOKUP(E180,AU:BB)),IF(C27&gt;2,LOOKUP(E180,BE:BL),IF(C27=2,LOOKUP(E180,AU:BB),LOOKUP(E180,AK:AR)))),AI36)</f>
        <v>Nehemiah 12:27-31a, 42b-47,</v>
      </c>
      <c r="M180" s="298" t="str">
        <f>IF(ISNUMBER(D180),IF(ISBLANK(BG7),IF(MOD(A7,2),LOOKUP(E180,AK:AS),LOOKUP(E180,AU:BC)),IF(C27&gt;2,LOOKUP(E180,BE:BM),IF(C27=2,LOOKUP(E180,AU:BC),LOOKUP(E180,AK:AS)))),AI36)</f>
        <v>Nehemiah 13:4-22,</v>
      </c>
      <c r="N180" s="251" t="s">
        <v>3251</v>
      </c>
      <c r="O180" s="56">
        <f>D180</f>
        <v>41595</v>
      </c>
      <c r="Z180" s="12"/>
      <c r="AK180" s="2">
        <v>173</v>
      </c>
      <c r="AL180" s="13" t="s">
        <v>3252</v>
      </c>
      <c r="AM180" s="89" t="s">
        <v>3253</v>
      </c>
      <c r="AN180" s="89" t="s">
        <v>3254</v>
      </c>
      <c r="AO180" s="88" t="s">
        <v>3255</v>
      </c>
      <c r="AP180" s="89" t="s">
        <v>3256</v>
      </c>
      <c r="AQ180" s="88" t="s">
        <v>3257</v>
      </c>
      <c r="AR180" s="89" t="s">
        <v>3258</v>
      </c>
      <c r="AS180" s="242" t="s">
        <v>3259</v>
      </c>
      <c r="AU180" s="2">
        <v>173</v>
      </c>
      <c r="AV180" s="13" t="s">
        <v>3252</v>
      </c>
      <c r="AW180" s="67" t="s">
        <v>3260</v>
      </c>
      <c r="AX180" s="66" t="s">
        <v>3261</v>
      </c>
      <c r="AY180" s="67" t="s">
        <v>1082</v>
      </c>
      <c r="AZ180" s="66" t="s">
        <v>3262</v>
      </c>
      <c r="BA180" s="67" t="s">
        <v>3263</v>
      </c>
      <c r="BB180" s="66" t="s">
        <v>3264</v>
      </c>
      <c r="BC180" s="67" t="s">
        <v>3265</v>
      </c>
      <c r="BE180" s="2">
        <v>173</v>
      </c>
      <c r="BF180" s="13" t="s">
        <v>3252</v>
      </c>
      <c r="BG180" s="68" t="s">
        <v>3266</v>
      </c>
      <c r="BH180" s="69" t="s">
        <v>3267</v>
      </c>
      <c r="BI180" s="68" t="s">
        <v>3268</v>
      </c>
      <c r="BJ180" s="69" t="s">
        <v>3269</v>
      </c>
      <c r="BK180" s="69" t="s">
        <v>3270</v>
      </c>
      <c r="BL180" s="69" t="s">
        <v>3271</v>
      </c>
      <c r="BM180" s="69" t="s">
        <v>3272</v>
      </c>
    </row>
    <row r="181" spans="2:79" s="181" customFormat="1" ht="12.75">
      <c r="B181" s="279"/>
      <c r="C181" s="279"/>
      <c r="D181" s="314"/>
      <c r="E181" s="73">
        <v>171</v>
      </c>
      <c r="F181" s="250"/>
      <c r="G181" s="304" t="str">
        <f>IF(ISNUMBER(D180),IF(ISBLANK(BG7),IF(MOD(A7,2),LOOKUP(E181,AK:AM),LOOKUP(E181,AU:AW)),IF(C27&gt;2,LOOKUP(E181,BE:BG),IF(C27=2,LOOKUP(E181,AU:AW),LOOKUP(E181,AK:AM)))),AI36)</f>
        <v>Acts 24:10-21,</v>
      </c>
      <c r="H181" s="178" t="str">
        <f>IF(ISNUMBER(D180),IF(ISBLANK(BG7),IF(MOD(A7,2),LOOKUP(E181,AK:AN),LOOKUP(E181,AU:AX)),IF(C27&gt;2,LOOKUP(E181,BE:BH),IF(C27=2,LOOKUP(E181,AU:AX),LOOKUP(E181,AK:AN)))),AI36)</f>
        <v>Revelation 18:1-8,</v>
      </c>
      <c r="I181" s="178" t="str">
        <f>IF(ISNUMBER(D180),IF(ISBLANK(BG7),IF(MOD(A7,2),LOOKUP(E181,AK:AO),LOOKUP(E181,AU:AY)),IF(C27&gt;2,LOOKUP(E181,BE:BI),IF(C27=2,LOOKUP(E181,AU:AY),LOOKUP(E181,AK:AO)))),AI36)</f>
        <v>Revelation 18:9-20,</v>
      </c>
      <c r="J181" s="178" t="str">
        <f>IF(ISNUMBER(D180),IF(ISBLANK(BG7),IF(MOD(A7,2),LOOKUP(E181,AK:AP),LOOKUP(E181,AU:AZ)),IF(C27&gt;2,LOOKUP(E181,BE:BJ),IF(C27=2,LOOKUP(E181,AU:AZ),LOOKUP(E181,AK:AP)))),AI36)</f>
        <v>Revelation 18:21-24,</v>
      </c>
      <c r="K181" s="178" t="str">
        <f>IF(ISNUMBER(D180),IF(ISBLANK(BG7),IF(MOD(A7,2),LOOKUP(E181,AK:AQ),LOOKUP(E181,AU:BA)),IF(C27&gt;2,LOOKUP(E181,BE:BK),IF(C27=2,LOOKUP(E181,AU:BA),LOOKUP(E181,AK:AQ)))),AI36)</f>
        <v>Revelation 19:1-10,</v>
      </c>
      <c r="L181" s="178" t="str">
        <f>IF(ISNUMBER(D180),IF(ISBLANK(BG7),IF(MOD(A7,2),LOOKUP(E181,AK:AR),LOOKUP(E181,AU:BB)),IF(C27&gt;2,LOOKUP(E181,BE:BL),IF(C27=2,LOOKUP(E181,AU:BB),LOOKUP(E181,AK:AR)))),AI36)</f>
        <v>Revelation 19:11-16,</v>
      </c>
      <c r="M181" s="178" t="str">
        <f>IF(ISNUMBER(D180),IF(ISBLANK(BG7),IF(MOD(A7,2),LOOKUP(E181,AK:AS),LOOKUP(E181,AU:BC)),IF(C27&gt;2,LOOKUP(E181,BE:BM),IF(C27=2,LOOKUP(E181,AU:BC),LOOKUP(E181,AK:AS)))),AI36)</f>
        <v>Revelation 20:1-6,</v>
      </c>
      <c r="N181" s="251"/>
      <c r="O181" s="78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2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>
        <v>174</v>
      </c>
      <c r="AL181" s="65" t="s">
        <v>3273</v>
      </c>
      <c r="AM181" s="64" t="s">
        <v>3274</v>
      </c>
      <c r="AN181" s="64" t="s">
        <v>3275</v>
      </c>
      <c r="AO181" s="63" t="s">
        <v>3276</v>
      </c>
      <c r="AP181" s="64" t="s">
        <v>278</v>
      </c>
      <c r="AQ181" s="63" t="s">
        <v>279</v>
      </c>
      <c r="AR181" s="64" t="s">
        <v>3277</v>
      </c>
      <c r="AS181" s="144" t="s">
        <v>3278</v>
      </c>
      <c r="AT181" s="174"/>
      <c r="AU181" s="174">
        <v>174</v>
      </c>
      <c r="AV181" s="65" t="s">
        <v>3273</v>
      </c>
      <c r="AW181" s="67" t="s">
        <v>3279</v>
      </c>
      <c r="AX181" s="66" t="s">
        <v>2750</v>
      </c>
      <c r="AY181" s="67" t="s">
        <v>2751</v>
      </c>
      <c r="AZ181" s="66" t="s">
        <v>2752</v>
      </c>
      <c r="BA181" s="67" t="s">
        <v>2753</v>
      </c>
      <c r="BB181" s="66" t="s">
        <v>3280</v>
      </c>
      <c r="BC181" s="67" t="s">
        <v>3281</v>
      </c>
      <c r="BD181" s="174"/>
      <c r="BE181" s="174">
        <v>174</v>
      </c>
      <c r="BF181" s="65" t="s">
        <v>3273</v>
      </c>
      <c r="BG181" s="68" t="s">
        <v>3282</v>
      </c>
      <c r="BH181" s="69" t="s">
        <v>3283</v>
      </c>
      <c r="BI181" s="68" t="s">
        <v>3284</v>
      </c>
      <c r="BJ181" s="69" t="s">
        <v>3285</v>
      </c>
      <c r="BK181" s="69" t="s">
        <v>3286</v>
      </c>
      <c r="BL181" s="69" t="s">
        <v>3287</v>
      </c>
      <c r="BM181" s="69" t="s">
        <v>3288</v>
      </c>
      <c r="BN181" s="174"/>
      <c r="BO181" s="174"/>
      <c r="BP181" s="174"/>
      <c r="BQ181" s="174"/>
      <c r="BR181" s="174"/>
      <c r="BS181" s="174"/>
      <c r="BT181" s="174"/>
      <c r="BU181" s="174"/>
      <c r="BV181" s="174"/>
      <c r="BW181" s="174"/>
      <c r="BX181" s="174"/>
      <c r="BY181" s="174"/>
      <c r="BZ181" s="174"/>
      <c r="CA181" s="174"/>
    </row>
    <row r="182" spans="2:65" ht="12.75">
      <c r="B182" s="4"/>
      <c r="C182" s="4"/>
      <c r="D182" s="314"/>
      <c r="E182" s="73">
        <v>172</v>
      </c>
      <c r="F182" s="250"/>
      <c r="G182" s="305" t="str">
        <f>IF(ISNUMBER(D180),IF(ISBLANK(BG7),IF(MOD(A7,2),LOOKUP(E182,AK:AM),LOOKUP(E182,AU:AW)),IF(C27&gt;2,LOOKUP(E182,BE:BG),IF(C27=2,LOOKUP(E182,AU:AW),LOOKUP(E182,AK:AM)))),AI36)</f>
        <v>Luke 14:12-24</v>
      </c>
      <c r="H182" s="290" t="str">
        <f>IF(ISNUMBER(D180),IF(ISBLANK(BG7),IF(MOD(A7,2),LOOKUP(E182,AK:AN),LOOKUP(E182,AU:AX)),IF(C27&gt;2,LOOKUP(E182,BE:BH),IF(C27=2,LOOKUP(E182,AU:AX),LOOKUP(E182,AK:AN)))),AI36)</f>
        <v>Matthew 15:1-20</v>
      </c>
      <c r="I182" s="290" t="str">
        <f>IF(ISNUMBER(D180),IF(ISBLANK(BG7),IF(MOD(A7,2),LOOKUP(E182,AK:AO),LOOKUP(E182,AU:AY)),IF(C27&gt;2,LOOKUP(E182,BE:BI),IF(C27=2,LOOKUP(E182,AU:AY),LOOKUP(E182,AK:AO)))),AI36)</f>
        <v>Matthew 15:21-28</v>
      </c>
      <c r="J182" s="290" t="str">
        <f>IF(ISNUMBER(D180),IF(ISBLANK(BG7),IF(MOD(A7,2),LOOKUP(E182,AK:AP),LOOKUP(E182,AU:AZ)),IF(C27&gt;2,LOOKUP(E182,BE:BJ),IF(C27=2,LOOKUP(E182,AU:AZ),LOOKUP(E182,AK:AP)))),AI36)</f>
        <v>Matthew 15:29-30</v>
      </c>
      <c r="K182" s="290" t="str">
        <f>IF(ISNUMBER(D180),IF(ISBLANK(BG7),IF(MOD(A7,2),LOOKUP(E182,AK:AQ),LOOKUP(E182,AU:BA)),IF(C27&gt;2,LOOKUP(E182,BE:BK),IF(C27=2,LOOKUP(E182,AU:BA),LOOKUP(E182,AK:AQ)))),AI36)</f>
        <v>Matthew 16:1-12</v>
      </c>
      <c r="L182" s="290" t="str">
        <f>IF(ISNUMBER(D180),IF(ISBLANK(BG7),IF(MOD(A7,2),LOOKUP(E182,AK:AR),LOOKUP(E182,AU:BB)),IF(C27&gt;2,LOOKUP(E182,BE:BL),IF(C27=2,LOOKUP(E182,AU:BB),LOOKUP(E182,AK:AR)))),AI36)</f>
        <v>Matthew 16:13-20</v>
      </c>
      <c r="M182" s="290" t="str">
        <f>IF(ISNUMBER(D180),IF(ISBLANK(BG7),IF(MOD(A7,2),LOOKUP(E182,AK:AS),LOOKUP(E182,AU:BC)),IF(C27&gt;2,LOOKUP(E182,BE:BM),IF(C27=2,LOOKUP(E182,AU:BC),LOOKUP(E182,AK:AS)))),AI36)</f>
        <v>Matthew 16:21-28</v>
      </c>
      <c r="N182" s="251"/>
      <c r="O182" s="99"/>
      <c r="Z182" s="12"/>
      <c r="AK182" s="2">
        <v>175</v>
      </c>
      <c r="AL182" s="13" t="s">
        <v>3289</v>
      </c>
      <c r="AM182" s="102" t="s">
        <v>3290</v>
      </c>
      <c r="AN182" s="102" t="s">
        <v>2123</v>
      </c>
      <c r="AO182" s="101" t="s">
        <v>2176</v>
      </c>
      <c r="AP182" s="102" t="s">
        <v>2177</v>
      </c>
      <c r="AQ182" s="101" t="s">
        <v>2178</v>
      </c>
      <c r="AR182" s="102" t="s">
        <v>2179</v>
      </c>
      <c r="AS182" s="249" t="s">
        <v>2180</v>
      </c>
      <c r="AU182" s="2">
        <v>175</v>
      </c>
      <c r="AV182" s="13" t="s">
        <v>3289</v>
      </c>
      <c r="AW182" s="67" t="s">
        <v>3291</v>
      </c>
      <c r="AX182" s="66" t="s">
        <v>2005</v>
      </c>
      <c r="AY182" s="67" t="s">
        <v>2062</v>
      </c>
      <c r="AZ182" s="66" t="s">
        <v>2063</v>
      </c>
      <c r="BA182" s="67" t="s">
        <v>2064</v>
      </c>
      <c r="BB182" s="66" t="s">
        <v>2065</v>
      </c>
      <c r="BC182" s="67" t="s">
        <v>1113</v>
      </c>
      <c r="BE182" s="2">
        <v>175</v>
      </c>
      <c r="BF182" s="13" t="s">
        <v>3289</v>
      </c>
      <c r="BG182" s="68" t="s">
        <v>3292</v>
      </c>
      <c r="BH182" s="69" t="s">
        <v>3293</v>
      </c>
      <c r="BI182" s="68" t="s">
        <v>3294</v>
      </c>
      <c r="BJ182" s="69" t="s">
        <v>3295</v>
      </c>
      <c r="BK182" s="69" t="s">
        <v>3296</v>
      </c>
      <c r="BL182" s="69" t="s">
        <v>3297</v>
      </c>
      <c r="BM182" s="69" t="s">
        <v>3298</v>
      </c>
    </row>
    <row r="183" spans="2:65" ht="12.75">
      <c r="B183" s="4"/>
      <c r="C183" s="4"/>
      <c r="D183" s="306" t="str">
        <f>IF(B20&gt;26,B21-7,"OMIT")</f>
        <v>OMIT</v>
      </c>
      <c r="E183" s="261">
        <v>173</v>
      </c>
      <c r="F183" s="273" t="s">
        <v>3299</v>
      </c>
      <c r="G183" s="303" t="str">
        <f>IF(ISNUMBER(D183),IF(ISBLANK(BG7),IF(MOD(A7,2),LOOKUP(E183,AK:AM),LOOKUP(E183,AU:AW)),IF(C27&gt;2,LOOKUP(E183,BE:BG),IF(C27=2,LOOKUP(E183,AU:AW),LOOKUP(E183,AK:AM)))),AI36)</f>
        <v> -------------</v>
      </c>
      <c r="H183" s="298" t="str">
        <f>IF(ISNUMBER(D183),IF(ISBLANK(BG7),IF(MOD(A7,2),LOOKUP(E183,AK:AN),LOOKUP(E183,AU:AX)),IF(C27&gt;2,LOOKUP(E183,BE:BH),IF(C27=2,LOOKUP(E183,AU:AX),LOOKUP(E183,AK:AN)))),AI36)</f>
        <v> -------------</v>
      </c>
      <c r="I183" s="298" t="str">
        <f>IF(ISNUMBER(D183),IF(ISBLANK(BG7),IF(MOD(A7,2),LOOKUP(E183,AK:AO),LOOKUP(E183,AU:AY)),IF(C27&gt;2,LOOKUP(E183,BE:BI),IF(C27=2,LOOKUP(E183,AU:AY),LOOKUP(E183,AK:AO)))),AI36)</f>
        <v> -------------</v>
      </c>
      <c r="J183" s="298" t="str">
        <f>IF(ISNUMBER(D183),IF(ISBLANK(BG7),IF(MOD(A7,2),LOOKUP(E183,AK:AP),LOOKUP(E183,AU:AZ)),IF(C27&gt;2,LOOKUP(E183,BE:BJ),IF(C27=2,LOOKUP(E183,AU:AZ),LOOKUP(E183,AK:AP)))),AI36)</f>
        <v> -------------</v>
      </c>
      <c r="K183" s="298" t="str">
        <f>IF(ISNUMBER(D183),IF(ISBLANK(BG7),IF(MOD(A7,2),LOOKUP(E183,AK:AQ),LOOKUP(E183,AU:BA)),IF(C27&gt;2,LOOKUP(E183,BE:BK),IF(C27=2,LOOKUP(E183,AU:BA),LOOKUP(E183,AK:AQ)))),AI36)</f>
        <v> -------------</v>
      </c>
      <c r="L183" s="298" t="str">
        <f>IF(ISNUMBER(D183),IF(ISBLANK(BG7),IF(MOD(A7,2),LOOKUP(E183,AK:AR),LOOKUP(E183,AU:BB)),IF(C27&gt;2,LOOKUP(E183,BE:BL),IF(C27=2,LOOKUP(E183,AU:BB),LOOKUP(E183,AK:AR)))),AI36)</f>
        <v> -------------</v>
      </c>
      <c r="M183" s="298" t="str">
        <f>IF(ISNUMBER(D183),IF(ISBLANK(BG7),IF(MOD(A7,2),LOOKUP(E183,AK:AS),LOOKUP(E183,AU:BC)),IF(C27&gt;2,LOOKUP(E183,BE:BM),IF(C27=2,LOOKUP(E183,AU:BC),LOOKUP(E183,AK:AS)))),AI36)</f>
        <v> -------------</v>
      </c>
      <c r="N183" s="274" t="s">
        <v>3299</v>
      </c>
      <c r="O183" s="109" t="str">
        <f>D183</f>
        <v>OMIT</v>
      </c>
      <c r="Z183" s="12"/>
      <c r="AK183" s="2">
        <v>176</v>
      </c>
      <c r="AL183" s="245" t="s">
        <v>3300</v>
      </c>
      <c r="AM183" s="64" t="s">
        <v>3301</v>
      </c>
      <c r="AN183" s="64" t="s">
        <v>3302</v>
      </c>
      <c r="AO183" s="63" t="s">
        <v>3303</v>
      </c>
      <c r="AP183" s="64" t="s">
        <v>3304</v>
      </c>
      <c r="AQ183" s="63" t="s">
        <v>3305</v>
      </c>
      <c r="AR183" s="64" t="s">
        <v>3306</v>
      </c>
      <c r="AS183" s="144" t="s">
        <v>3307</v>
      </c>
      <c r="AU183" s="2">
        <v>176</v>
      </c>
      <c r="AV183" s="245" t="s">
        <v>3300</v>
      </c>
      <c r="AW183" s="91" t="s">
        <v>3308</v>
      </c>
      <c r="AX183" s="90" t="s">
        <v>3309</v>
      </c>
      <c r="AY183" s="91" t="s">
        <v>3310</v>
      </c>
      <c r="AZ183" s="90" t="s">
        <v>3311</v>
      </c>
      <c r="BA183" s="91" t="s">
        <v>3312</v>
      </c>
      <c r="BB183" s="90" t="s">
        <v>3313</v>
      </c>
      <c r="BC183" s="91" t="s">
        <v>3314</v>
      </c>
      <c r="BE183" s="2">
        <v>176</v>
      </c>
      <c r="BF183" s="245" t="s">
        <v>3300</v>
      </c>
      <c r="BG183" s="68" t="s">
        <v>3315</v>
      </c>
      <c r="BH183" s="69" t="s">
        <v>3316</v>
      </c>
      <c r="BI183" s="68" t="s">
        <v>3317</v>
      </c>
      <c r="BJ183" s="69" t="s">
        <v>3318</v>
      </c>
      <c r="BK183" s="69" t="s">
        <v>3319</v>
      </c>
      <c r="BL183" s="69" t="s">
        <v>3320</v>
      </c>
      <c r="BM183" s="69" t="s">
        <v>3321</v>
      </c>
    </row>
    <row r="184" spans="2:65" ht="12.75">
      <c r="B184" s="4"/>
      <c r="C184" s="279"/>
      <c r="D184" s="72"/>
      <c r="E184" s="73">
        <v>174</v>
      </c>
      <c r="F184" s="250"/>
      <c r="G184" s="304" t="str">
        <f>IF(ISNUMBER(D183),IF(ISBLANK(BG7),IF(MOD(A7,2),LOOKUP(E184,AK:AM),LOOKUP(E184,AU:AW)),IF(C27&gt;2,LOOKUP(E184,BE:BG),IF(C27=2,LOOKUP(E184,AU:AW),LOOKUP(E184,AK:AM)))),AI36)</f>
        <v> -------------</v>
      </c>
      <c r="H184" s="178" t="str">
        <f>IF(ISNUMBER(D183),IF(ISBLANK(BG7),IF(MOD(A7,2),LOOKUP(E184,AK:AN),LOOKUP(E184,AU:AX)),IF(C27&gt;2,LOOKUP(E184,BE:BH),IF(C27=2,LOOKUP(E184,AU:AX),LOOKUP(E184,AK:AN)))),AI36)</f>
        <v> -------------</v>
      </c>
      <c r="I184" s="178" t="str">
        <f>IF(ISNUMBER(D183),IF(ISBLANK(BG7),IF(MOD(A7,2),LOOKUP(E184,AK:AO),LOOKUP(E184,AU:AY)),IF(C27&gt;2,LOOKUP(E184,BE:BI),IF(C27=2,LOOKUP(E184,AU:AY),LOOKUP(E184,AK:AO)))),AI36)</f>
        <v> -------------</v>
      </c>
      <c r="J184" s="178" t="str">
        <f>IF(ISNUMBER(D183),IF(ISBLANK(BG7),IF(MOD(A7,2),LOOKUP(E184,AK:AP),LOOKUP(E184,AU:AZ)),IF(C27&gt;2,LOOKUP(E184,BE:BJ),IF(C27=2,LOOKUP(E184,AU:AZ),LOOKUP(E184,AK:AP)))),AI36)</f>
        <v> -------------</v>
      </c>
      <c r="K184" s="178" t="str">
        <f>IF(ISNUMBER(D183),IF(ISBLANK(BG7),IF(MOD(A7,2),LOOKUP(E184,AK:AQ),LOOKUP(E184,AU:BA)),IF(C27&gt;2,LOOKUP(E184,BE:BK),IF(C27=2,LOOKUP(E184,AU:BA),LOOKUP(E184,AK:AQ)))),AI36)</f>
        <v> -------------</v>
      </c>
      <c r="L184" s="178" t="str">
        <f>IF(ISNUMBER(D183),IF(ISBLANK(BG7),IF(MOD(A7,2),LOOKUP(E184,AK:AR),LOOKUP(E184,AU:BB)),IF(C27&gt;2,LOOKUP(E184,BE:BL),IF(C27=2,LOOKUP(E184,AU:BB),LOOKUP(E184,AK:AR)))),AI36)</f>
        <v> -------------</v>
      </c>
      <c r="M184" s="178" t="str">
        <f>IF(ISNUMBER(D183),IF(ISBLANK(BG7),IF(MOD(A7,2),LOOKUP(E184,AK:AS),LOOKUP(E184,AU:BC)),IF(C27&gt;2,LOOKUP(E184,BE:BM),IF(C27=2,LOOKUP(E184,AU:BC),LOOKUP(E184,AK:AS)))),AI36)</f>
        <v> -------------</v>
      </c>
      <c r="N184" s="251"/>
      <c r="O184" s="78"/>
      <c r="Z184" s="12"/>
      <c r="AK184" s="2">
        <v>177</v>
      </c>
      <c r="AL184" s="13" t="s">
        <v>3322</v>
      </c>
      <c r="AM184" s="64" t="s">
        <v>3323</v>
      </c>
      <c r="AN184" s="64" t="s">
        <v>1569</v>
      </c>
      <c r="AO184" s="63" t="s">
        <v>1570</v>
      </c>
      <c r="AP184" s="64" t="s">
        <v>1571</v>
      </c>
      <c r="AQ184" s="63" t="s">
        <v>3324</v>
      </c>
      <c r="AR184" s="64" t="s">
        <v>1573</v>
      </c>
      <c r="AS184" s="144" t="s">
        <v>1574</v>
      </c>
      <c r="AU184" s="2">
        <v>177</v>
      </c>
      <c r="AV184" s="13" t="s">
        <v>3322</v>
      </c>
      <c r="AW184" s="67" t="s">
        <v>3325</v>
      </c>
      <c r="AX184" s="66" t="s">
        <v>3326</v>
      </c>
      <c r="AY184" s="67" t="s">
        <v>3327</v>
      </c>
      <c r="AZ184" s="66" t="s">
        <v>566</v>
      </c>
      <c r="BA184" s="67" t="s">
        <v>561</v>
      </c>
      <c r="BB184" s="66" t="s">
        <v>3328</v>
      </c>
      <c r="BC184" s="67" t="s">
        <v>2803</v>
      </c>
      <c r="BE184" s="2">
        <v>177</v>
      </c>
      <c r="BF184" s="13" t="s">
        <v>3322</v>
      </c>
      <c r="BG184" s="68" t="s">
        <v>3329</v>
      </c>
      <c r="BH184" s="69" t="s">
        <v>3330</v>
      </c>
      <c r="BI184" s="68" t="s">
        <v>3331</v>
      </c>
      <c r="BJ184" s="69" t="s">
        <v>3332</v>
      </c>
      <c r="BK184" s="69" t="s">
        <v>3333</v>
      </c>
      <c r="BL184" s="69" t="s">
        <v>3334</v>
      </c>
      <c r="BM184" s="69" t="s">
        <v>3335</v>
      </c>
    </row>
    <row r="185" spans="2:65" ht="12.75">
      <c r="B185" s="4"/>
      <c r="C185" s="4"/>
      <c r="D185" s="81"/>
      <c r="E185" s="266">
        <v>175</v>
      </c>
      <c r="F185" s="258"/>
      <c r="G185" s="305" t="str">
        <f>IF(ISNUMBER(D183),IF(ISBLANK(BG7),IF(MOD(A7,2),LOOKUP(E185,AK:AM),LOOKUP(E185,AU:AW)),IF(C27&gt;2,LOOKUP(E185,BE:BG),IF(C27=2,LOOKUP(E185,AU:AW),LOOKUP(E185,AK:AM)))),AI36)</f>
        <v> -------------</v>
      </c>
      <c r="H185" s="290" t="str">
        <f>IF(ISNUMBER(D183),IF(ISBLANK(BG7),IF(MOD(A7,2),LOOKUP(E185,AK:AN),LOOKUP(E185,AU:AX)),IF(C27&gt;2,LOOKUP(E185,BE:BH),IF(C27=2,LOOKUP(E185,AU:AX),LOOKUP(E185,AK:AN)))),AI36)</f>
        <v> -------------</v>
      </c>
      <c r="I185" s="290" t="str">
        <f>IF(ISNUMBER(D183),IF(ISBLANK(BG7),IF(MOD(A7,2),LOOKUP(E185,AK:AO),LOOKUP(E185,AU:AY)),IF(C27&gt;2,LOOKUP(E185,BE:BI),IF(C27=2,LOOKUP(E185,AU:AY),LOOKUP(E185,AK:AO)))),AI36)</f>
        <v> -------------</v>
      </c>
      <c r="J185" s="290" t="str">
        <f>IF(ISNUMBER(D183),IF(ISBLANK(BG7),IF(MOD(A7,2),LOOKUP(E185,AK:AP),LOOKUP(E185,AU:AZ)),IF(C27&gt;2,LOOKUP(E185,BE:BJ),IF(C27=2,LOOKUP(E185,AU:AZ),LOOKUP(E185,AK:AP)))),AI36)</f>
        <v> -------------</v>
      </c>
      <c r="K185" s="290" t="str">
        <f>IF(ISNUMBER(D183),IF(ISBLANK(BG7),IF(MOD(A7,2),LOOKUP(E185,AK:AQ),LOOKUP(E185,AU:BA)),IF(C27&gt;2,LOOKUP(E185,BE:BK),IF(C27=2,LOOKUP(E185,AU:BA),LOOKUP(E185,AK:AQ)))),AI36)</f>
        <v> -------------</v>
      </c>
      <c r="L185" s="290" t="str">
        <f>IF(ISNUMBER(D183),IF(ISBLANK(BG7),IF(MOD(A7,2),LOOKUP(E185,AK:AR),LOOKUP(E185,AU:BB)),IF(C27&gt;2,LOOKUP(E185,BE:BL),IF(C27=2,LOOKUP(E185,AU:BB),LOOKUP(E185,AK:AR)))),AI36)</f>
        <v> -------------</v>
      </c>
      <c r="M185" s="290" t="str">
        <f>IF(ISNUMBER(D183),IF(ISBLANK(BG7),IF(MOD(A7,2),LOOKUP(E185,AK:AS),LOOKUP(E185,AU:BC)),IF(C27&gt;2,LOOKUP(E185,BE:BM),IF(C27=2,LOOKUP(E185,AU:BC),LOOKUP(E185,AK:AS)))),AI36)</f>
        <v> -------------</v>
      </c>
      <c r="N185" s="267"/>
      <c r="O185" s="78"/>
      <c r="Z185" s="12"/>
      <c r="AK185" s="2">
        <v>178</v>
      </c>
      <c r="AL185" s="248" t="s">
        <v>3336</v>
      </c>
      <c r="AM185" s="102" t="s">
        <v>2116</v>
      </c>
      <c r="AN185" s="102" t="s">
        <v>2181</v>
      </c>
      <c r="AO185" s="101" t="s">
        <v>2237</v>
      </c>
      <c r="AP185" s="102" t="s">
        <v>2230</v>
      </c>
      <c r="AQ185" s="101" t="s">
        <v>2238</v>
      </c>
      <c r="AR185" s="102" t="s">
        <v>2239</v>
      </c>
      <c r="AS185" s="249" t="s">
        <v>2240</v>
      </c>
      <c r="AU185" s="2">
        <v>178</v>
      </c>
      <c r="AV185" s="248" t="s">
        <v>3336</v>
      </c>
      <c r="AW185" s="104" t="s">
        <v>3337</v>
      </c>
      <c r="AX185" s="103" t="s">
        <v>2066</v>
      </c>
      <c r="AY185" s="104" t="s">
        <v>2114</v>
      </c>
      <c r="AZ185" s="103" t="s">
        <v>3338</v>
      </c>
      <c r="BA185" s="104" t="s">
        <v>2116</v>
      </c>
      <c r="BB185" s="103" t="s">
        <v>2117</v>
      </c>
      <c r="BC185" s="104" t="s">
        <v>1466</v>
      </c>
      <c r="BE185" s="2">
        <v>178</v>
      </c>
      <c r="BF185" s="248" t="s">
        <v>3336</v>
      </c>
      <c r="BG185" s="68" t="s">
        <v>3339</v>
      </c>
      <c r="BH185" s="69" t="s">
        <v>3340</v>
      </c>
      <c r="BI185" s="68" t="s">
        <v>3341</v>
      </c>
      <c r="BJ185" s="69" t="s">
        <v>3342</v>
      </c>
      <c r="BK185" s="69" t="s">
        <v>3343</v>
      </c>
      <c r="BL185" s="69" t="s">
        <v>3344</v>
      </c>
      <c r="BM185" s="69" t="s">
        <v>3345</v>
      </c>
    </row>
    <row r="186" spans="2:38" ht="12.75">
      <c r="B186" s="4"/>
      <c r="C186" s="4"/>
      <c r="D186" s="138">
        <f>B21-7</f>
        <v>41602</v>
      </c>
      <c r="E186" s="139">
        <v>176</v>
      </c>
      <c r="F186" s="262" t="s">
        <v>3346</v>
      </c>
      <c r="G186" s="263" t="str">
        <f>IF(ISBLANK(BG7),IF(MOD(A7,2),LOOKUP(E186,AK8:AM183),LOOKUP(E186,AU:AW)),IF(C27&gt;2,LOOKUP(E186,BE:BG),IF(C27=2,LOOKUP(E186,AU:AW),LOOKUP(E186,AK:AM))))</f>
        <v>Isaiah 19:19-25,</v>
      </c>
      <c r="H186" s="264" t="str">
        <f>IF(ISBLANK(BG7),IF(MOD(A7,2),LOOKUP(E186,AK8:AN183),LOOKUP(E186,AU:AX)),IF(C27&gt;2,LOOKUP(E186,BE:BH),IF(C27=2,LOOKUP(E186,AU:AX),LOOKUP(E186,AK:AN))))</f>
        <v>Joel 3:1-2, 9-17,</v>
      </c>
      <c r="I186" s="264" t="str">
        <f>IF(ISBLANK(BG7),IF(MOD(A7,2),LOOKUP(E186,AK8:AO183),LOOKUP(E186,AU:AY)),IF(C27&gt;2,LOOKUP(E186,BE:BI),IF(C27=2,LOOKUP(E186,AU:AY),LOOKUP(E186,AK:AO))))</f>
        <v>Nahum 1:1-13,</v>
      </c>
      <c r="J186" s="264" t="str">
        <f>IF(ISBLANK(BG7),IF(MOD(A7,2),LOOKUP(E186,AK8:AP183),LOOKUP(E186,AU:AZ)),IF(C27&gt;2,LOOKUP(E186,BE:BJ),IF(C27=2,LOOKUP(E186,AU:AZ),LOOKUP(E186,AK:AP))))</f>
        <v>Obediah 15-21,</v>
      </c>
      <c r="K186" s="264" t="str">
        <f>IF(ISBLANK(BG7),IF(MOD(A7,2),LOOKUP(E186,AK8:AQ183),LOOKUP(E186,AU:BA)),IF(C27&gt;2,LOOKUP(E186,BE:BK),IF(C27=2,LOOKUP(E186,AU:BA),LOOKUP(E186,AK:AQ))))</f>
        <v>Zephaniah 3:1-13,</v>
      </c>
      <c r="L186" s="264" t="str">
        <f>IF(ISBLANK(BG7),IF(MOD(A7,2),LOOKUP(E186,AK8:AR183),LOOKUP(E186,AU:BB)),IF(C27&gt;2,LOOKUP(E186,BE:BL),IF(C27=2,LOOKUP(E186,AU:BB),LOOKUP(E186,AK:AR))))</f>
        <v>Isaiah 24:14-23,</v>
      </c>
      <c r="M186" s="315" t="str">
        <f>IF(ISBLANK(BG7),IF(MOD(A7,2),LOOKUP(E186,AK8:AS183),LOOKUP(E186,AU:BC)),IF(C27&gt;2,LOOKUP(E186,BE:BM),IF(C27=2,LOOKUP(E186,AU:BC),LOOKUP(E186,AK:AS))))</f>
        <v>Micah 7:11-20,</v>
      </c>
      <c r="N186" s="316" t="s">
        <v>3346</v>
      </c>
      <c r="O186" s="56">
        <f>D186</f>
        <v>41602</v>
      </c>
      <c r="Z186" s="12"/>
      <c r="AJ186" s="44"/>
      <c r="AK186" s="44"/>
      <c r="AL186" s="44"/>
    </row>
    <row r="187" spans="2:38" ht="12.75">
      <c r="B187" s="4"/>
      <c r="C187" s="4"/>
      <c r="D187" s="317"/>
      <c r="E187" s="139">
        <v>177</v>
      </c>
      <c r="F187" s="250" t="s">
        <v>3347</v>
      </c>
      <c r="G187" s="255" t="str">
        <f>IF(ISBLANK(BG7),IF(MOD(A7,2),LOOKUP(E187,AK9:AM184),LOOKUP(E187,AU:AW)),IF(C27&gt;2,LOOKUP(E187,BE:BG),IF(C27=2,LOOKUP(E187,AU:AW),LOOKUP(E187,AK:AM))))</f>
        <v>Romans 15:5-13,</v>
      </c>
      <c r="H187" s="111" t="str">
        <f>IF(ISBLANK(BG7),IF(MOD(A7,2),LOOKUP(E187,AK9:AN184),LOOKUP(E187,AU:AX)),IF(C27&gt;2,LOOKUP(E187,BE:BH),IF(C27=2,LOOKUP(E187,AU:AX),LOOKUP(E187,AK:AN))))</f>
        <v>1 Peter 1:1-12,</v>
      </c>
      <c r="I187" s="111" t="str">
        <f>IF(ISBLANK(BG7),IF(MOD(A7,2),LOOKUP(E187,AK9:AO184),LOOKUP(E187,AU:AY)),IF(C27&gt;2,LOOKUP(E187,BE:BI),IF(C27=2,LOOKUP(E187,AU:AY),LOOKUP(E187,AK:AO))))</f>
        <v>1 Peter 1:13-25,</v>
      </c>
      <c r="J187" s="111" t="str">
        <f>IF(ISBLANK(BG7),IF(MOD(A7,2),LOOKUP(E187,AK9:AP184),LOOKUP(E187,AU:AZ)),IF(C27&gt;2,LOOKUP(E187,BE:BJ),IF(C27=2,LOOKUP(E187,AU:AZ),LOOKUP(E187,AK:AP))))</f>
        <v>1 Peter 2:1-10,</v>
      </c>
      <c r="K187" s="111" t="str">
        <f>IF(ISBLANK(BG7),IF(MOD(A7,2),LOOKUP(E187,AK9:AQ184),LOOKUP(E187,AU:BA)),IF(C27&gt;2,LOOKUP(E187,BE:BK),IF(C27=2,LOOKUP(E187,AU:BA),LOOKUP(E187,AK:AQ))))</f>
        <v>1 Peter 2:11-25,</v>
      </c>
      <c r="L187" s="111" t="str">
        <f>IF(ISBLANK(BG7),IF(MOD(A7,2),LOOKUP(E187,AK9:AR184),LOOKUP(E187,AU:BB)),IF(C27&gt;2,LOOKUP(E187,BE:BL),IF(C27=2,LOOKUP(E187,AU:BB),LOOKUP(E187,AK:AR))))</f>
        <v>1 Peter 3:13-4:6,</v>
      </c>
      <c r="M187" s="318" t="str">
        <f>IF(ISBLANK(BG7),IF(MOD(A7,2),LOOKUP(E187,AK9:AS184),LOOKUP(E187,AU:BC)),IF(C27&gt;2,LOOKUP(E187,BE:BM),IF(C27=2,LOOKUP(E187,AU:BC),LOOKUP(E187,AK:AS))))</f>
        <v>1 Peter 4:7-19,</v>
      </c>
      <c r="N187" s="319" t="s">
        <v>3347</v>
      </c>
      <c r="O187" s="78"/>
      <c r="Z187" s="12"/>
      <c r="AJ187" s="44"/>
      <c r="AK187" s="44"/>
      <c r="AL187" s="44"/>
    </row>
    <row r="188" spans="2:38" ht="12.75">
      <c r="B188" s="4"/>
      <c r="C188" s="4"/>
      <c r="D188" s="320"/>
      <c r="E188" s="165">
        <v>178</v>
      </c>
      <c r="F188" s="321"/>
      <c r="G188" s="259" t="str">
        <f>IF(ISBLANK(BG7),IF(MOD(A7,2),LOOKUP(E188,AK10:AM185),LOOKUP(E188,AU:AW)),IF(C27&gt;2,LOOKUP(E188,BE:BG),IF(C27=2,LOOKUP(E188,AU:AW),LOOKUP(E188,AK:AM))))</f>
        <v>Luke 19:11-27</v>
      </c>
      <c r="H188" s="260" t="str">
        <f>IF(ISBLANK(BG7),IF(MOD(A7,2),LOOKUP(E188,AK10:AN185),LOOKUP(E188,AU:AX)),IF(C27&gt;2,LOOKUP(E188,BE:BH),IF(C27=2,LOOKUP(E188,AU:AX),LOOKUP(E188,AK:AN))))</f>
        <v>Matthew 19:1-12</v>
      </c>
      <c r="I188" s="260" t="str">
        <f>IF(ISBLANK(BG7),IF(MOD(A7,2),LOOKUP(E188,AK10:AO185),LOOKUP(E188,AU:AY)),IF(C27&gt;2,LOOKUP(E188,BE:BI),IF(C27=2,LOOKUP(E188,AU:AY),LOOKUP(E188,AK:AO))))</f>
        <v>Matthew 19:13-22</v>
      </c>
      <c r="J188" s="260" t="str">
        <f>IF(ISBLANK(BG7),IF(MOD(A7,2),LOOKUP(E188,AK10:AP185),LOOKUP(E188,AU:AZ)),IF(C27&gt;2,LOOKUP(E188,BE:BJ),IF(C27=2,LOOKUP(E188,AU:AZ),LOOKUP(E188,AK:AP))))</f>
        <v>Matthew 19:23-30</v>
      </c>
      <c r="K188" s="260" t="str">
        <f>IF(ISBLANK(BG7),IF(MOD(A7,2),LOOKUP(E188,AK10:AQ185),LOOKUP(E188,AU:BA)),IF(C27&gt;2,LOOKUP(E188,BE:BK),IF(C27=2,LOOKUP(E188,AU:BA),LOOKUP(E188,AK:AQ))))</f>
        <v>Matthew 20:1-16</v>
      </c>
      <c r="L188" s="260" t="str">
        <f>IF(ISBLANK(BG7),IF(MOD(A7,2),LOOKUP(E188,AK10:AR185),LOOKUP(E188,AU:BB)),IF(C27&gt;2,LOOKUP(E188,BE:BL),IF(C27=2,LOOKUP(E188,AU:BB),LOOKUP(E188,AK:AR))))</f>
        <v>Matthew 20:17-28</v>
      </c>
      <c r="M188" s="322" t="str">
        <f>IF(ISBLANK(BG7),IF(MOD(A7,2),LOOKUP(E188,AK10:AS185),LOOKUP(E188,AU:BC)),IF(C27&gt;2,LOOKUP(E188,BE:BM),IF(C27=2,LOOKUP(E188,AU:BC),LOOKUP(E188,AK:AS))))</f>
        <v>Matthew 20:29-34</v>
      </c>
      <c r="N188" s="323"/>
      <c r="O188" s="99"/>
      <c r="Z188" s="12"/>
      <c r="AJ188" s="44"/>
      <c r="AK188" s="44"/>
      <c r="AL188" s="44"/>
    </row>
    <row r="189" spans="2:38" ht="12.75">
      <c r="B189" s="4"/>
      <c r="C189" s="4"/>
      <c r="D189" s="5"/>
      <c r="E189" s="6"/>
      <c r="F189" s="17"/>
      <c r="G189" s="4"/>
      <c r="H189" s="4"/>
      <c r="I189" s="4"/>
      <c r="J189" s="4"/>
      <c r="K189" s="4"/>
      <c r="L189" s="4"/>
      <c r="M189" s="4"/>
      <c r="N189" s="324"/>
      <c r="O189" s="11"/>
      <c r="Z189" s="12"/>
      <c r="AJ189" s="44"/>
      <c r="AK189" s="44"/>
      <c r="AL189" s="44"/>
    </row>
    <row r="190" spans="4:38" ht="12.75" customHeight="1">
      <c r="D190" s="4"/>
      <c r="E190" s="4"/>
      <c r="F190" s="325" t="s">
        <v>3348</v>
      </c>
      <c r="G190" s="6"/>
      <c r="H190" s="326" t="s">
        <v>3349</v>
      </c>
      <c r="I190" s="327" t="s">
        <v>3350</v>
      </c>
      <c r="K190" s="4"/>
      <c r="L190" s="4"/>
      <c r="M190" s="4"/>
      <c r="N190" s="324"/>
      <c r="O190" s="11"/>
      <c r="Z190" s="12"/>
      <c r="AJ190" s="44"/>
      <c r="AK190" s="44"/>
      <c r="AL190" s="44"/>
    </row>
    <row r="191" ht="12.75">
      <c r="B191" s="328"/>
    </row>
  </sheetData>
  <sheetProtection selectLockedCells="1" selectUnlockedCells="1"/>
  <mergeCells count="2">
    <mergeCell ref="H3:H4"/>
    <mergeCell ref="F5:H5"/>
  </mergeCells>
  <hyperlinks>
    <hyperlink ref="H3" r:id="rId1" display="This Week: 'BLOG"/>
    <hyperlink ref="F4" r:id="rId2" display="HOME - Archive"/>
    <hyperlink ref="H4" r:id="rId3" display="This Week: 'BLOG"/>
    <hyperlink ref="I190" r:id="rId4" display="foersdiaz@aol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foerster</cp:lastModifiedBy>
  <dcterms:modified xsi:type="dcterms:W3CDTF">2013-10-14T20:01:28Z</dcterms:modified>
  <cp:category/>
  <cp:version/>
  <cp:contentType/>
  <cp:contentStatus/>
  <cp:revision>5</cp:revision>
</cp:coreProperties>
</file>